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ertoValencia/Documents/INSTITUTO TECNOLOGICO DE DURANGO/2017/PROYECTO SENER CONACYT 2014/REPORTE FINAL PROYECTO/ARCHIVOS EXCELL/"/>
    </mc:Choice>
  </mc:AlternateContent>
  <xr:revisionPtr revIDLastSave="0" documentId="13_ncr:1_{F2A2D12A-D3BE-8345-9754-23730DBFF109}" xr6:coauthVersionLast="47" xr6:coauthVersionMax="47" xr10:uidLastSave="{00000000-0000-0000-0000-000000000000}"/>
  <bookViews>
    <workbookView xWindow="25600" yWindow="460" windowWidth="27320" windowHeight="14900" activeTab="3" xr2:uid="{017A2602-0A94-4D69-A5EB-E51A26B143E8}"/>
  </bookViews>
  <sheets>
    <sheet name="NOTAS" sheetId="7" r:id="rId1"/>
    <sheet name="DATOS MEZCLAS" sheetId="2" r:id="rId2"/>
    <sheet name="DATOS MONITOREO" sheetId="3" r:id="rId3"/>
    <sheet name="DATOS MONITOREO 2" sheetId="5" r:id="rId4"/>
    <sheet name="GRAFICA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3" l="1"/>
  <c r="M34" i="3" l="1"/>
  <c r="G54" i="3" l="1"/>
  <c r="G55" i="3"/>
  <c r="G56" i="3"/>
  <c r="F17" i="5" l="1"/>
  <c r="F16" i="5"/>
  <c r="F15" i="5"/>
  <c r="F14" i="5"/>
  <c r="F13" i="5"/>
  <c r="F12" i="5"/>
  <c r="G12" i="5" s="1"/>
  <c r="F11" i="5"/>
  <c r="F10" i="5"/>
  <c r="F9" i="5"/>
  <c r="F8" i="5"/>
  <c r="G8" i="5" s="1"/>
  <c r="F7" i="5"/>
  <c r="F6" i="5"/>
  <c r="F5" i="5"/>
  <c r="G5" i="5" s="1"/>
  <c r="G13" i="5"/>
  <c r="F4" i="5"/>
  <c r="Q17" i="5"/>
  <c r="P17" i="5"/>
  <c r="G17" i="5"/>
  <c r="Q16" i="5"/>
  <c r="P16" i="5"/>
  <c r="R16" i="5" s="1"/>
  <c r="G16" i="5"/>
  <c r="Q15" i="5"/>
  <c r="P15" i="5"/>
  <c r="R15" i="5" s="1"/>
  <c r="G15" i="5"/>
  <c r="Q14" i="5"/>
  <c r="P14" i="5"/>
  <c r="R14" i="5" s="1"/>
  <c r="G14" i="5"/>
  <c r="Q13" i="5"/>
  <c r="R13" i="5" s="1"/>
  <c r="P13" i="5"/>
  <c r="Q12" i="5"/>
  <c r="P12" i="5"/>
  <c r="R12" i="5" s="1"/>
  <c r="Q11" i="5"/>
  <c r="P11" i="5"/>
  <c r="G11" i="5"/>
  <c r="R10" i="5"/>
  <c r="Q10" i="5"/>
  <c r="P10" i="5"/>
  <c r="G10" i="5"/>
  <c r="Q9" i="5"/>
  <c r="R9" i="5" s="1"/>
  <c r="P9" i="5"/>
  <c r="G9" i="5"/>
  <c r="Q8" i="5"/>
  <c r="P8" i="5"/>
  <c r="R8" i="5" s="1"/>
  <c r="Q7" i="5"/>
  <c r="P7" i="5"/>
  <c r="G7" i="5"/>
  <c r="R6" i="5"/>
  <c r="Q6" i="5"/>
  <c r="P6" i="5"/>
  <c r="G6" i="5"/>
  <c r="Q5" i="5"/>
  <c r="R5" i="5" s="1"/>
  <c r="P5" i="5"/>
  <c r="Q4" i="5"/>
  <c r="P4" i="5"/>
  <c r="R4" i="5" s="1"/>
  <c r="G4" i="5"/>
  <c r="R7" i="5" l="1"/>
  <c r="R11" i="5"/>
  <c r="R17" i="5"/>
  <c r="F27" i="3"/>
  <c r="G27" i="3" s="1"/>
  <c r="P27" i="3"/>
  <c r="Q27" i="3"/>
  <c r="F26" i="3"/>
  <c r="F25" i="3"/>
  <c r="G53" i="3" l="1"/>
  <c r="S27" i="3"/>
  <c r="R27" i="3"/>
  <c r="L19" i="2"/>
  <c r="L17" i="2"/>
  <c r="L18" i="2"/>
  <c r="L16" i="2"/>
  <c r="L7" i="2"/>
  <c r="L5" i="2"/>
  <c r="L6" i="2"/>
  <c r="L4" i="2"/>
  <c r="F24" i="3" l="1"/>
  <c r="F23" i="3"/>
  <c r="F22" i="3" l="1"/>
  <c r="F21" i="3"/>
  <c r="G6" i="3" l="1"/>
  <c r="G32" i="3" s="1"/>
  <c r="F20" i="3"/>
  <c r="F19" i="3"/>
  <c r="F18" i="3"/>
  <c r="F17" i="3"/>
  <c r="F16" i="3"/>
  <c r="F15" i="3" l="1"/>
  <c r="F14" i="3" l="1"/>
  <c r="F13" i="3"/>
  <c r="P12" i="3" l="1"/>
  <c r="P13" i="3"/>
  <c r="F12" i="3"/>
  <c r="F11" i="3" l="1"/>
  <c r="F10" i="3"/>
  <c r="K7" i="2" l="1"/>
  <c r="K20" i="2"/>
  <c r="K17" i="2"/>
  <c r="K18" i="2"/>
  <c r="K16" i="2"/>
  <c r="K19" i="2" s="1"/>
  <c r="K5" i="2"/>
  <c r="K6" i="2"/>
  <c r="K4" i="2"/>
  <c r="K8" i="2" s="1"/>
  <c r="G7" i="3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S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6" i="3"/>
  <c r="P7" i="3"/>
  <c r="P8" i="3"/>
  <c r="R8" i="3" s="1"/>
  <c r="P9" i="3"/>
  <c r="P10" i="3"/>
  <c r="P11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6" i="3"/>
  <c r="J17" i="2"/>
  <c r="J18" i="2"/>
  <c r="J16" i="2"/>
  <c r="J5" i="2"/>
  <c r="J6" i="2"/>
  <c r="J4" i="2"/>
  <c r="S26" i="3" l="1"/>
  <c r="T27" i="3" s="1"/>
  <c r="G52" i="3"/>
  <c r="S22" i="3"/>
  <c r="G48" i="3"/>
  <c r="S18" i="3"/>
  <c r="G44" i="3"/>
  <c r="S14" i="3"/>
  <c r="G40" i="3"/>
  <c r="S10" i="3"/>
  <c r="G36" i="3"/>
  <c r="S25" i="3"/>
  <c r="G51" i="3"/>
  <c r="S21" i="3"/>
  <c r="G47" i="3"/>
  <c r="S17" i="3"/>
  <c r="G43" i="3"/>
  <c r="J34" i="3"/>
  <c r="L37" i="3" s="1"/>
  <c r="L41" i="3" s="1"/>
  <c r="S13" i="3"/>
  <c r="G39" i="3"/>
  <c r="S9" i="3"/>
  <c r="G35" i="3"/>
  <c r="S24" i="3"/>
  <c r="G50" i="3"/>
  <c r="S20" i="3"/>
  <c r="G46" i="3"/>
  <c r="S16" i="3"/>
  <c r="G42" i="3"/>
  <c r="S12" i="3"/>
  <c r="G38" i="3"/>
  <c r="S8" i="3"/>
  <c r="G34" i="3"/>
  <c r="S23" i="3"/>
  <c r="G49" i="3"/>
  <c r="S19" i="3"/>
  <c r="G45" i="3"/>
  <c r="S15" i="3"/>
  <c r="G41" i="3"/>
  <c r="J35" i="3" s="1"/>
  <c r="L38" i="3" s="1"/>
  <c r="L42" i="3" s="1"/>
  <c r="S11" i="3"/>
  <c r="G37" i="3"/>
  <c r="S7" i="3"/>
  <c r="T7" i="3" s="1"/>
  <c r="T23" i="3"/>
  <c r="T26" i="3"/>
  <c r="T10" i="3"/>
  <c r="R24" i="3"/>
  <c r="T25" i="3"/>
  <c r="T9" i="3"/>
  <c r="T24" i="3"/>
  <c r="T12" i="3"/>
  <c r="T8" i="3"/>
  <c r="T22" i="3"/>
  <c r="T21" i="3"/>
  <c r="R20" i="3"/>
  <c r="T20" i="3"/>
  <c r="T19" i="3"/>
  <c r="T18" i="3"/>
  <c r="T17" i="3"/>
  <c r="R16" i="3"/>
  <c r="T16" i="3"/>
  <c r="T15" i="3"/>
  <c r="T13" i="3"/>
  <c r="T14" i="3"/>
  <c r="R26" i="3"/>
  <c r="R22" i="3"/>
  <c r="R18" i="3"/>
  <c r="R14" i="3"/>
  <c r="R6" i="3"/>
  <c r="R23" i="3"/>
  <c r="R19" i="3"/>
  <c r="R15" i="3"/>
  <c r="R11" i="3"/>
  <c r="R7" i="3"/>
  <c r="R12" i="3"/>
  <c r="R25" i="3"/>
  <c r="R21" i="3"/>
  <c r="R17" i="3"/>
  <c r="R13" i="3"/>
  <c r="R10" i="3"/>
  <c r="R9" i="3"/>
  <c r="T11" i="3" l="1"/>
</calcChain>
</file>

<file path=xl/sharedStrings.xml><?xml version="1.0" encoding="utf-8"?>
<sst xmlns="http://schemas.openxmlformats.org/spreadsheetml/2006/main" count="98" uniqueCount="73">
  <si>
    <t>Fecha</t>
  </si>
  <si>
    <t>Día</t>
  </si>
  <si>
    <t>Presión</t>
  </si>
  <si>
    <t>Temperatura</t>
  </si>
  <si>
    <t>Litros de biogas</t>
  </si>
  <si>
    <t>CO2 %</t>
  </si>
  <si>
    <t>pH</t>
  </si>
  <si>
    <t>redox</t>
  </si>
  <si>
    <t>conductividad</t>
  </si>
  <si>
    <t>alcalinidad ml 5.7</t>
  </si>
  <si>
    <t>alcalinidad  ml 4.4</t>
  </si>
  <si>
    <t>Relación alfa</t>
  </si>
  <si>
    <t xml:space="preserve">estiercol </t>
  </si>
  <si>
    <t>solidos estiercol</t>
  </si>
  <si>
    <t>p1</t>
  </si>
  <si>
    <t>p2</t>
  </si>
  <si>
    <t>p3</t>
  </si>
  <si>
    <t>p4</t>
  </si>
  <si>
    <t>pm</t>
  </si>
  <si>
    <t>n27</t>
  </si>
  <si>
    <t>e2</t>
  </si>
  <si>
    <t>ph</t>
  </si>
  <si>
    <t>e1</t>
  </si>
  <si>
    <t>lodo</t>
  </si>
  <si>
    <t>929micros/cm</t>
  </si>
  <si>
    <t>mezcla</t>
  </si>
  <si>
    <t>solidos mezcla</t>
  </si>
  <si>
    <t>n7</t>
  </si>
  <si>
    <t>n6</t>
  </si>
  <si>
    <t>n67</t>
  </si>
  <si>
    <t>solidos totales</t>
  </si>
  <si>
    <t>solidos volatiles</t>
  </si>
  <si>
    <t>promedio</t>
  </si>
  <si>
    <t>desviacion</t>
  </si>
  <si>
    <t>volumen de CH4</t>
  </si>
  <si>
    <t>volumen de CH4 acumulado</t>
  </si>
  <si>
    <t>NH4</t>
  </si>
  <si>
    <t>lodos</t>
  </si>
  <si>
    <t>estiercol</t>
  </si>
  <si>
    <t>mango</t>
  </si>
  <si>
    <t>corrida 2</t>
  </si>
  <si>
    <t>biogas réplica</t>
  </si>
  <si>
    <t>biogas  corrida 1</t>
  </si>
  <si>
    <t>CH4 % corrida 1</t>
  </si>
  <si>
    <t>CH4 % Réplica</t>
  </si>
  <si>
    <t xml:space="preserve">H2S ppm </t>
  </si>
  <si>
    <t>H2S ppm réplica</t>
  </si>
  <si>
    <t>pH réplica</t>
  </si>
  <si>
    <t>alcalinidad parcial</t>
  </si>
  <si>
    <t>Alcalinidad total</t>
  </si>
  <si>
    <t xml:space="preserve">Réplica (a) </t>
  </si>
  <si>
    <t>Réplica (b)</t>
  </si>
  <si>
    <t>Réplica ©</t>
  </si>
  <si>
    <t xml:space="preserve"> Réplica ®</t>
  </si>
  <si>
    <t>reduccion de solidos</t>
  </si>
  <si>
    <t>m3 de biogas/kg sv</t>
  </si>
  <si>
    <t>Experimentos realizados con:</t>
  </si>
  <si>
    <t>Substrato principal:</t>
  </si>
  <si>
    <t>Lodos gastados de la PTAR</t>
  </si>
  <si>
    <t xml:space="preserve">Cosubstratos: </t>
  </si>
  <si>
    <t>Estiércol porcino fresco y residuos de mango</t>
  </si>
  <si>
    <t>Tiempo duración experimentos</t>
  </si>
  <si>
    <t>40 días por corridas (2 CORRIDAS)</t>
  </si>
  <si>
    <t>Temperaturas de operación:</t>
  </si>
  <si>
    <t>20℃ controlado con baño de circulación</t>
  </si>
  <si>
    <t>Reactor</t>
  </si>
  <si>
    <t>Reactor de vidrio doble pared semi-automatico de 20 L de capacidad</t>
  </si>
  <si>
    <t>Tiempo de experimentación</t>
  </si>
  <si>
    <t>3 MESES</t>
  </si>
  <si>
    <t>AUTORES DE LA BASE DE DATOS:</t>
  </si>
  <si>
    <t>DR. ROBERTO VALENCIA VAZQUEZ; MSA JORGE EMMANUEL DOMINGUEZ VILLANUEVA</t>
  </si>
  <si>
    <t>USO DE LOS DATOS</t>
  </si>
  <si>
    <t>DAR RECONOCIMIENTO AL CONSEJO NACIONAL DE CIENCIA, HUMANIDADES Y TECNOLOGÍA (CONAHCYT)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</si>
</sst>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3" borderId="0" xfId="0" applyFill="1"/>
    <xf numFmtId="0" fontId="0" fillId="2" borderId="0" xfId="0" applyFill="1"/>
    <xf numFmtId="16" fontId="0" fillId="2" borderId="0" xfId="0" applyNumberFormat="1" applyFill="1"/>
    <xf numFmtId="164" fontId="0" fillId="2" borderId="0" xfId="0" applyNumberFormat="1" applyFill="1" applyProtection="1">
      <protection locked="0"/>
    </xf>
    <xf numFmtId="164" fontId="1" fillId="2" borderId="0" xfId="0" applyNumberFormat="1" applyFont="1" applyFill="1" applyProtection="1">
      <protection locked="0"/>
    </xf>
    <xf numFmtId="9" fontId="0" fillId="0" borderId="0" xfId="0" applyNumberFormat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6" fontId="0" fillId="2" borderId="0" xfId="0" applyNumberFormat="1" applyFill="1" applyBorder="1"/>
    <xf numFmtId="0" fontId="0" fillId="2" borderId="0" xfId="0" applyFill="1" applyBorder="1"/>
    <xf numFmtId="164" fontId="1" fillId="2" borderId="0" xfId="0" applyNumberFormat="1" applyFont="1" applyFill="1" applyBorder="1" applyProtection="1">
      <protection locked="0"/>
    </xf>
    <xf numFmtId="164" fontId="0" fillId="2" borderId="0" xfId="0" applyNumberFormat="1" applyFill="1" applyBorder="1" applyProtection="1">
      <protection locked="0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4" borderId="0" xfId="0" applyFont="1" applyFill="1"/>
    <xf numFmtId="0" fontId="4" fillId="4" borderId="0" xfId="0" applyFont="1" applyFill="1"/>
    <xf numFmtId="0" fontId="0" fillId="4" borderId="0" xfId="0" applyFill="1"/>
  </cellXfs>
  <cellStyles count="1">
    <cellStyle name="Normal" xfId="0" builtinId="0"/>
  </cellStyles>
  <dxfs count="43"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164" formatCode="0.0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</dxf>
    <dxf>
      <numFmt numFmtId="21" formatCode="dd\-mmm"/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164" formatCode="0.0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</dxf>
    <dxf>
      <numFmt numFmtId="21" formatCode="dd\-mmm"/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pH corrida 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'DATOS MONITOREO 2'!$C$4:$C$17</c:f>
              <c:numCache>
                <c:formatCode>General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  <c:pt idx="13">
                  <c:v>32</c:v>
                </c:pt>
              </c:numCache>
            </c:numRef>
          </c:xVal>
          <c:yVal>
            <c:numRef>
              <c:f>'DATOS MONITOREO 2'!$K$4:$K$17</c:f>
              <c:numCache>
                <c:formatCode>General</c:formatCode>
                <c:ptCount val="14"/>
                <c:pt idx="0">
                  <c:v>7</c:v>
                </c:pt>
                <c:pt idx="1">
                  <c:v>6.5</c:v>
                </c:pt>
                <c:pt idx="2">
                  <c:v>6.2</c:v>
                </c:pt>
                <c:pt idx="3">
                  <c:v>6.2</c:v>
                </c:pt>
                <c:pt idx="4">
                  <c:v>6.2</c:v>
                </c:pt>
                <c:pt idx="5">
                  <c:v>6.1</c:v>
                </c:pt>
                <c:pt idx="6">
                  <c:v>6.2</c:v>
                </c:pt>
                <c:pt idx="7">
                  <c:v>6.3</c:v>
                </c:pt>
                <c:pt idx="8">
                  <c:v>6.4</c:v>
                </c:pt>
                <c:pt idx="9">
                  <c:v>6.6</c:v>
                </c:pt>
                <c:pt idx="10">
                  <c:v>7.7</c:v>
                </c:pt>
                <c:pt idx="11">
                  <c:v>8</c:v>
                </c:pt>
                <c:pt idx="12">
                  <c:v>7.7</c:v>
                </c:pt>
                <c:pt idx="13">
                  <c:v>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63-48D2-A682-18A047CF7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473040"/>
        <c:axId val="508465824"/>
      </c:scatterChart>
      <c:scatterChart>
        <c:scatterStyle val="lineMarker"/>
        <c:varyColors val="0"/>
        <c:ser>
          <c:idx val="1"/>
          <c:order val="1"/>
          <c:tx>
            <c:v>alcalinidad parcial corrida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'DATOS MONITOREO 2'!$C$4:$C$17</c:f>
              <c:numCache>
                <c:formatCode>General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  <c:pt idx="13">
                  <c:v>32</c:v>
                </c:pt>
              </c:numCache>
            </c:numRef>
          </c:xVal>
          <c:yVal>
            <c:numRef>
              <c:f>'DATOS MONITOREO 2'!$P$4:$P$17</c:f>
              <c:numCache>
                <c:formatCode>General</c:formatCode>
                <c:ptCount val="14"/>
                <c:pt idx="0">
                  <c:v>915.00000000000011</c:v>
                </c:pt>
                <c:pt idx="1">
                  <c:v>924.99999999999989</c:v>
                </c:pt>
                <c:pt idx="2">
                  <c:v>905</c:v>
                </c:pt>
                <c:pt idx="3">
                  <c:v>1000</c:v>
                </c:pt>
                <c:pt idx="4">
                  <c:v>880</c:v>
                </c:pt>
                <c:pt idx="5">
                  <c:v>885</c:v>
                </c:pt>
                <c:pt idx="6">
                  <c:v>905</c:v>
                </c:pt>
                <c:pt idx="7">
                  <c:v>1150</c:v>
                </c:pt>
                <c:pt idx="8">
                  <c:v>1150</c:v>
                </c:pt>
                <c:pt idx="9">
                  <c:v>1150</c:v>
                </c:pt>
                <c:pt idx="10">
                  <c:v>2225</c:v>
                </c:pt>
                <c:pt idx="11">
                  <c:v>2300</c:v>
                </c:pt>
                <c:pt idx="12">
                  <c:v>2275</c:v>
                </c:pt>
                <c:pt idx="13">
                  <c:v>2175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63-48D2-A682-18A047CF7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274568"/>
        <c:axId val="507272928"/>
      </c:scatterChart>
      <c:valAx>
        <c:axId val="50847304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8465824"/>
        <c:crosses val="autoZero"/>
        <c:crossBetween val="midCat"/>
      </c:valAx>
      <c:valAx>
        <c:axId val="50846582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8473040"/>
        <c:crosses val="autoZero"/>
        <c:crossBetween val="midCat"/>
      </c:valAx>
      <c:valAx>
        <c:axId val="507272928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7274568"/>
        <c:crosses val="max"/>
        <c:crossBetween val="midCat"/>
      </c:valAx>
      <c:valAx>
        <c:axId val="507274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7272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ALCALINIDAD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corrida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xVal>
            <c:numRef>
              <c:f>'DATOS MONITOREO'!$C$6:$C$27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39</c:v>
                </c:pt>
                <c:pt idx="17">
                  <c:v>42</c:v>
                </c:pt>
                <c:pt idx="18">
                  <c:v>46</c:v>
                </c:pt>
                <c:pt idx="19">
                  <c:v>49</c:v>
                </c:pt>
                <c:pt idx="20">
                  <c:v>53</c:v>
                </c:pt>
                <c:pt idx="21">
                  <c:v>57</c:v>
                </c:pt>
              </c:numCache>
            </c:numRef>
          </c:xVal>
          <c:yVal>
            <c:numRef>
              <c:f>'DATOS MONITOREO'!$Q$6:$Q$27</c:f>
              <c:numCache>
                <c:formatCode>General</c:formatCode>
                <c:ptCount val="22"/>
                <c:pt idx="0">
                  <c:v>2750.0000000000005</c:v>
                </c:pt>
                <c:pt idx="1">
                  <c:v>3000</c:v>
                </c:pt>
                <c:pt idx="2">
                  <c:v>3000</c:v>
                </c:pt>
                <c:pt idx="3">
                  <c:v>2500</c:v>
                </c:pt>
                <c:pt idx="4">
                  <c:v>2500</c:v>
                </c:pt>
                <c:pt idx="5">
                  <c:v>2750.0000000000005</c:v>
                </c:pt>
                <c:pt idx="6">
                  <c:v>2650.0000000000005</c:v>
                </c:pt>
                <c:pt idx="7">
                  <c:v>3500.0000000000005</c:v>
                </c:pt>
                <c:pt idx="8">
                  <c:v>3500.0000000000005</c:v>
                </c:pt>
                <c:pt idx="9">
                  <c:v>3250</c:v>
                </c:pt>
                <c:pt idx="10">
                  <c:v>4000</c:v>
                </c:pt>
                <c:pt idx="11">
                  <c:v>3699.9999999999995</c:v>
                </c:pt>
                <c:pt idx="12">
                  <c:v>3500.0000000000005</c:v>
                </c:pt>
                <c:pt idx="13">
                  <c:v>3750</c:v>
                </c:pt>
                <c:pt idx="14">
                  <c:v>3599.9999999999995</c:v>
                </c:pt>
                <c:pt idx="15">
                  <c:v>3900</c:v>
                </c:pt>
                <c:pt idx="16">
                  <c:v>3450</c:v>
                </c:pt>
                <c:pt idx="17">
                  <c:v>3350</c:v>
                </c:pt>
                <c:pt idx="18">
                  <c:v>3699.9999999999995</c:v>
                </c:pt>
                <c:pt idx="19">
                  <c:v>3699.9999999999995</c:v>
                </c:pt>
                <c:pt idx="20">
                  <c:v>3900</c:v>
                </c:pt>
                <c:pt idx="21">
                  <c:v>3699.9999999999995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9C-4529-B3A3-8209E1359F6C}"/>
            </c:ext>
          </c:extLst>
        </c:ser>
        <c:ser>
          <c:idx val="1"/>
          <c:order val="1"/>
          <c:tx>
            <c:v>corrida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2">
                    <a:alpha val="60000"/>
                  </a:schemeClr>
                </a:solidFill>
              </a:ln>
              <a:effectLst/>
            </c:spPr>
          </c:marker>
          <c:xVal>
            <c:numRef>
              <c:f>'DATOS MONITOREO 2'!$C$4:$C$17</c:f>
              <c:numCache>
                <c:formatCode>General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  <c:pt idx="13">
                  <c:v>32</c:v>
                </c:pt>
              </c:numCache>
            </c:numRef>
          </c:xVal>
          <c:yVal>
            <c:numRef>
              <c:f>'DATOS MONITOREO 2'!$Q$4:$Q$17</c:f>
              <c:numCache>
                <c:formatCode>General</c:formatCode>
                <c:ptCount val="14"/>
                <c:pt idx="0">
                  <c:v>3125</c:v>
                </c:pt>
                <c:pt idx="1">
                  <c:v>3100</c:v>
                </c:pt>
                <c:pt idx="2">
                  <c:v>3090</c:v>
                </c:pt>
                <c:pt idx="3">
                  <c:v>3200</c:v>
                </c:pt>
                <c:pt idx="4">
                  <c:v>3400.0000000000005</c:v>
                </c:pt>
                <c:pt idx="5">
                  <c:v>3100</c:v>
                </c:pt>
                <c:pt idx="6">
                  <c:v>3100</c:v>
                </c:pt>
                <c:pt idx="7">
                  <c:v>3100</c:v>
                </c:pt>
                <c:pt idx="8">
                  <c:v>2900</c:v>
                </c:pt>
                <c:pt idx="9">
                  <c:v>2850.0000000000005</c:v>
                </c:pt>
                <c:pt idx="10">
                  <c:v>3325</c:v>
                </c:pt>
                <c:pt idx="11">
                  <c:v>3300.0000000000005</c:v>
                </c:pt>
                <c:pt idx="12">
                  <c:v>3025</c:v>
                </c:pt>
                <c:pt idx="13">
                  <c:v>3250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9C-4529-B3A3-8209E1359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232040"/>
        <c:axId val="502233680"/>
      </c:scatterChart>
      <c:valAx>
        <c:axId val="502232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Días transcurridos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2233680"/>
        <c:crosses val="autoZero"/>
        <c:crossBetween val="midCat"/>
      </c:valAx>
      <c:valAx>
        <c:axId val="5022336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mg/l CaCO3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2232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902428280381037"/>
          <c:y val="0.89954670372085843"/>
          <c:w val="0.3721531289069358"/>
          <c:h val="6.5513224216972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/>
              <a:t>Relación</a:t>
            </a:r>
            <a:r>
              <a:rPr lang="es-MX" baseline="0"/>
              <a:t> Alfa(alcalinidad)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corrida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xVal>
            <c:numRef>
              <c:f>'DATOS MONITOREO'!$C$6:$C$27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39</c:v>
                </c:pt>
                <c:pt idx="17">
                  <c:v>42</c:v>
                </c:pt>
                <c:pt idx="18">
                  <c:v>46</c:v>
                </c:pt>
                <c:pt idx="19">
                  <c:v>49</c:v>
                </c:pt>
                <c:pt idx="20">
                  <c:v>53</c:v>
                </c:pt>
                <c:pt idx="21">
                  <c:v>57</c:v>
                </c:pt>
              </c:numCache>
            </c:numRef>
          </c:xVal>
          <c:yVal>
            <c:numRef>
              <c:f>'DATOS MONITOREO'!$R$6:$R$27</c:f>
              <c:numCache>
                <c:formatCode>General</c:formatCode>
                <c:ptCount val="22"/>
                <c:pt idx="0">
                  <c:v>0.81818181818181801</c:v>
                </c:pt>
                <c:pt idx="1">
                  <c:v>0.66666666666666663</c:v>
                </c:pt>
                <c:pt idx="2">
                  <c:v>0.5</c:v>
                </c:pt>
                <c:pt idx="3">
                  <c:v>0.4</c:v>
                </c:pt>
                <c:pt idx="4">
                  <c:v>0.4</c:v>
                </c:pt>
                <c:pt idx="5">
                  <c:v>0.36363636363636359</c:v>
                </c:pt>
                <c:pt idx="6">
                  <c:v>0.56603773584905648</c:v>
                </c:pt>
                <c:pt idx="7">
                  <c:v>0.5714285714285714</c:v>
                </c:pt>
                <c:pt idx="8">
                  <c:v>0.5714285714285714</c:v>
                </c:pt>
                <c:pt idx="9">
                  <c:v>0.64615384615384597</c:v>
                </c:pt>
                <c:pt idx="10">
                  <c:v>0.54999999999999993</c:v>
                </c:pt>
                <c:pt idx="11">
                  <c:v>0.59459459459459452</c:v>
                </c:pt>
                <c:pt idx="12">
                  <c:v>0.71428571428571419</c:v>
                </c:pt>
                <c:pt idx="13">
                  <c:v>0.66666666666666663</c:v>
                </c:pt>
                <c:pt idx="14">
                  <c:v>0.79166666666666685</c:v>
                </c:pt>
                <c:pt idx="15">
                  <c:v>0.74358974358974361</c:v>
                </c:pt>
                <c:pt idx="16">
                  <c:v>0.6811594202898551</c:v>
                </c:pt>
                <c:pt idx="17">
                  <c:v>0.71641791044776115</c:v>
                </c:pt>
                <c:pt idx="18">
                  <c:v>0.75675675675675702</c:v>
                </c:pt>
                <c:pt idx="19">
                  <c:v>0.77027027027027051</c:v>
                </c:pt>
                <c:pt idx="20">
                  <c:v>0.76923076923076927</c:v>
                </c:pt>
                <c:pt idx="21">
                  <c:v>0.77027027027027051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18-44B5-92DA-AB5D1E8DEB98}"/>
            </c:ext>
          </c:extLst>
        </c:ser>
        <c:ser>
          <c:idx val="1"/>
          <c:order val="1"/>
          <c:tx>
            <c:v>corrida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2">
                    <a:alpha val="60000"/>
                  </a:schemeClr>
                </a:solidFill>
              </a:ln>
              <a:effectLst/>
            </c:spPr>
          </c:marker>
          <c:xVal>
            <c:numRef>
              <c:f>'DATOS MONITOREO 2'!$C$4:$C$17</c:f>
              <c:numCache>
                <c:formatCode>General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  <c:pt idx="13">
                  <c:v>32</c:v>
                </c:pt>
              </c:numCache>
            </c:numRef>
          </c:xVal>
          <c:yVal>
            <c:numRef>
              <c:f>'DATOS MONITOREO 2'!$R$4:$R$17</c:f>
              <c:numCache>
                <c:formatCode>General</c:formatCode>
                <c:ptCount val="14"/>
                <c:pt idx="0">
                  <c:v>0.29280000000000006</c:v>
                </c:pt>
                <c:pt idx="1">
                  <c:v>0.29838709677419351</c:v>
                </c:pt>
                <c:pt idx="2">
                  <c:v>0.29288025889967639</c:v>
                </c:pt>
                <c:pt idx="3">
                  <c:v>0.3125</c:v>
                </c:pt>
                <c:pt idx="4">
                  <c:v>0.25882352941176467</c:v>
                </c:pt>
                <c:pt idx="5">
                  <c:v>0.28548387096774192</c:v>
                </c:pt>
                <c:pt idx="6">
                  <c:v>0.29193548387096774</c:v>
                </c:pt>
                <c:pt idx="7">
                  <c:v>0.37096774193548387</c:v>
                </c:pt>
                <c:pt idx="8">
                  <c:v>0.39655172413793105</c:v>
                </c:pt>
                <c:pt idx="9">
                  <c:v>0.40350877192982448</c:v>
                </c:pt>
                <c:pt idx="10">
                  <c:v>0.66917293233082709</c:v>
                </c:pt>
                <c:pt idx="11">
                  <c:v>0.69696969696969691</c:v>
                </c:pt>
                <c:pt idx="12">
                  <c:v>0.75206611570247939</c:v>
                </c:pt>
                <c:pt idx="13">
                  <c:v>0.66923076923076918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18-44B5-92DA-AB5D1E8DE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6372728"/>
        <c:axId val="563567928"/>
      </c:scatterChart>
      <c:valAx>
        <c:axId val="336372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Días</a:t>
                </a:r>
                <a:r>
                  <a:rPr lang="es-MX" baseline="0"/>
                  <a:t> TRANSCURRIDOS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3567928"/>
        <c:crosses val="autoZero"/>
        <c:crossBetween val="midCat"/>
      </c:valAx>
      <c:valAx>
        <c:axId val="5635679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Coeficiente</a:t>
                </a:r>
                <a:r>
                  <a:rPr lang="en-US" baseline="0"/>
                  <a:t> Relación alfa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6372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 y alcalinidad parcial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pH corrida 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'DATOS MONITOREO'!$C$6:$C$27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39</c:v>
                </c:pt>
                <c:pt idx="17">
                  <c:v>42</c:v>
                </c:pt>
                <c:pt idx="18">
                  <c:v>46</c:v>
                </c:pt>
                <c:pt idx="19">
                  <c:v>49</c:v>
                </c:pt>
                <c:pt idx="20">
                  <c:v>53</c:v>
                </c:pt>
                <c:pt idx="21">
                  <c:v>57</c:v>
                </c:pt>
              </c:numCache>
            </c:numRef>
          </c:xVal>
          <c:yVal>
            <c:numRef>
              <c:f>'DATOS MONITOREO'!$K$6:$K$27</c:f>
              <c:numCache>
                <c:formatCode>General</c:formatCode>
                <c:ptCount val="22"/>
                <c:pt idx="0">
                  <c:v>7.3</c:v>
                </c:pt>
                <c:pt idx="1">
                  <c:v>7</c:v>
                </c:pt>
                <c:pt idx="2">
                  <c:v>6.4</c:v>
                </c:pt>
                <c:pt idx="3">
                  <c:v>6.3</c:v>
                </c:pt>
                <c:pt idx="4">
                  <c:v>6.3</c:v>
                </c:pt>
                <c:pt idx="5">
                  <c:v>6.2</c:v>
                </c:pt>
                <c:pt idx="6">
                  <c:v>7</c:v>
                </c:pt>
                <c:pt idx="7">
                  <c:v>6.9</c:v>
                </c:pt>
                <c:pt idx="8">
                  <c:v>6.8</c:v>
                </c:pt>
                <c:pt idx="9">
                  <c:v>6.8</c:v>
                </c:pt>
                <c:pt idx="10">
                  <c:v>6.9</c:v>
                </c:pt>
                <c:pt idx="11">
                  <c:v>7.2</c:v>
                </c:pt>
                <c:pt idx="12">
                  <c:v>7.3</c:v>
                </c:pt>
                <c:pt idx="13">
                  <c:v>7.7</c:v>
                </c:pt>
                <c:pt idx="14">
                  <c:v>8.1999999999999993</c:v>
                </c:pt>
                <c:pt idx="15">
                  <c:v>8.3000000000000007</c:v>
                </c:pt>
                <c:pt idx="16">
                  <c:v>7.9</c:v>
                </c:pt>
                <c:pt idx="17">
                  <c:v>7.8</c:v>
                </c:pt>
                <c:pt idx="18">
                  <c:v>8.1</c:v>
                </c:pt>
                <c:pt idx="19">
                  <c:v>8.1999999999999993</c:v>
                </c:pt>
                <c:pt idx="20">
                  <c:v>8.4</c:v>
                </c:pt>
                <c:pt idx="21">
                  <c:v>8.1999999999999993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47-455A-BFAB-C27D17262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078880"/>
        <c:axId val="579080848"/>
      </c:scatterChart>
      <c:scatterChart>
        <c:scatterStyle val="lineMarker"/>
        <c:varyColors val="0"/>
        <c:ser>
          <c:idx val="1"/>
          <c:order val="1"/>
          <c:tx>
            <c:v>alcalinidad parcial corrida 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'DATOS MONITOREO'!$C$6:$C$27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39</c:v>
                </c:pt>
                <c:pt idx="17">
                  <c:v>42</c:v>
                </c:pt>
                <c:pt idx="18">
                  <c:v>46</c:v>
                </c:pt>
                <c:pt idx="19">
                  <c:v>49</c:v>
                </c:pt>
                <c:pt idx="20">
                  <c:v>53</c:v>
                </c:pt>
                <c:pt idx="21">
                  <c:v>57</c:v>
                </c:pt>
              </c:numCache>
            </c:numRef>
          </c:xVal>
          <c:yVal>
            <c:numRef>
              <c:f>'DATOS MONITOREO'!$P$6:$P$27</c:f>
              <c:numCache>
                <c:formatCode>General</c:formatCode>
                <c:ptCount val="22"/>
                <c:pt idx="0">
                  <c:v>2250</c:v>
                </c:pt>
                <c:pt idx="1">
                  <c:v>2000</c:v>
                </c:pt>
                <c:pt idx="2">
                  <c:v>1500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1500</c:v>
                </c:pt>
                <c:pt idx="7">
                  <c:v>2000</c:v>
                </c:pt>
                <c:pt idx="8">
                  <c:v>2000</c:v>
                </c:pt>
                <c:pt idx="9">
                  <c:v>2099.9999999999995</c:v>
                </c:pt>
                <c:pt idx="10">
                  <c:v>2199.9999999999995</c:v>
                </c:pt>
                <c:pt idx="11">
                  <c:v>2199.9999999999995</c:v>
                </c:pt>
                <c:pt idx="12">
                  <c:v>2500</c:v>
                </c:pt>
                <c:pt idx="13">
                  <c:v>2500</c:v>
                </c:pt>
                <c:pt idx="14">
                  <c:v>2850.0000000000005</c:v>
                </c:pt>
                <c:pt idx="15">
                  <c:v>2900</c:v>
                </c:pt>
                <c:pt idx="16">
                  <c:v>2350</c:v>
                </c:pt>
                <c:pt idx="17">
                  <c:v>2400</c:v>
                </c:pt>
                <c:pt idx="18">
                  <c:v>2800.0000000000005</c:v>
                </c:pt>
                <c:pt idx="19">
                  <c:v>2850.0000000000005</c:v>
                </c:pt>
                <c:pt idx="20">
                  <c:v>3000</c:v>
                </c:pt>
                <c:pt idx="21">
                  <c:v>2850.0000000000005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47-455A-BFAB-C27D17262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738672"/>
        <c:axId val="519731128"/>
      </c:scatterChart>
      <c:valAx>
        <c:axId val="579078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Días transcurridos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9080848"/>
        <c:crosses val="autoZero"/>
        <c:crossBetween val="midCat"/>
        <c:majorUnit val="5"/>
      </c:valAx>
      <c:valAx>
        <c:axId val="5790808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9078880"/>
        <c:crosses val="autoZero"/>
        <c:crossBetween val="midCat"/>
      </c:valAx>
      <c:valAx>
        <c:axId val="519731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mg de CaCO</a:t>
                </a:r>
                <a:r>
                  <a:rPr lang="en-US" sz="800"/>
                  <a:t>3</a:t>
                </a:r>
                <a:r>
                  <a:rPr lang="en-US"/>
                  <a:t>/L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9738672"/>
        <c:crosses val="max"/>
        <c:crossBetween val="midCat"/>
      </c:valAx>
      <c:valAx>
        <c:axId val="519738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731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'DATOS MONITOREO'!$K$5</c:f>
              <c:strCache>
                <c:ptCount val="1"/>
                <c:pt idx="0">
                  <c:v>pH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'DATOS MONITOREO'!$C$6:$C$27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39</c:v>
                </c:pt>
                <c:pt idx="17">
                  <c:v>42</c:v>
                </c:pt>
                <c:pt idx="18">
                  <c:v>46</c:v>
                </c:pt>
                <c:pt idx="19">
                  <c:v>49</c:v>
                </c:pt>
                <c:pt idx="20">
                  <c:v>53</c:v>
                </c:pt>
                <c:pt idx="21">
                  <c:v>57</c:v>
                </c:pt>
              </c:numCache>
            </c:numRef>
          </c:xVal>
          <c:yVal>
            <c:numRef>
              <c:f>'DATOS MONITOREO'!$K$6:$K$27</c:f>
              <c:numCache>
                <c:formatCode>General</c:formatCode>
                <c:ptCount val="22"/>
                <c:pt idx="0">
                  <c:v>7.3</c:v>
                </c:pt>
                <c:pt idx="1">
                  <c:v>7</c:v>
                </c:pt>
                <c:pt idx="2">
                  <c:v>6.4</c:v>
                </c:pt>
                <c:pt idx="3">
                  <c:v>6.3</c:v>
                </c:pt>
                <c:pt idx="4">
                  <c:v>6.3</c:v>
                </c:pt>
                <c:pt idx="5">
                  <c:v>6.2</c:v>
                </c:pt>
                <c:pt idx="6">
                  <c:v>7</c:v>
                </c:pt>
                <c:pt idx="7">
                  <c:v>6.9</c:v>
                </c:pt>
                <c:pt idx="8">
                  <c:v>6.8</c:v>
                </c:pt>
                <c:pt idx="9">
                  <c:v>6.8</c:v>
                </c:pt>
                <c:pt idx="10">
                  <c:v>6.9</c:v>
                </c:pt>
                <c:pt idx="11">
                  <c:v>7.2</c:v>
                </c:pt>
                <c:pt idx="12">
                  <c:v>7.3</c:v>
                </c:pt>
                <c:pt idx="13">
                  <c:v>7.7</c:v>
                </c:pt>
                <c:pt idx="14">
                  <c:v>8.1999999999999993</c:v>
                </c:pt>
                <c:pt idx="15">
                  <c:v>8.3000000000000007</c:v>
                </c:pt>
                <c:pt idx="16">
                  <c:v>7.9</c:v>
                </c:pt>
                <c:pt idx="17">
                  <c:v>7.8</c:v>
                </c:pt>
                <c:pt idx="18">
                  <c:v>8.1</c:v>
                </c:pt>
                <c:pt idx="19">
                  <c:v>8.1999999999999993</c:v>
                </c:pt>
                <c:pt idx="20">
                  <c:v>8.4</c:v>
                </c:pt>
                <c:pt idx="21">
                  <c:v>8.1999999999999993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1A-4375-8BFD-9E26ABBD2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743264"/>
        <c:axId val="519739328"/>
      </c:scatterChart>
      <c:scatterChart>
        <c:scatterStyle val="lineMarker"/>
        <c:varyColors val="0"/>
        <c:ser>
          <c:idx val="1"/>
          <c:order val="1"/>
          <c:tx>
            <c:strRef>
              <c:f>'DATOS MONITOREO'!$Q$5</c:f>
              <c:strCache>
                <c:ptCount val="1"/>
                <c:pt idx="0">
                  <c:v>Alcalinidad total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'DATOS MONITOREO'!$C$6:$C$27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39</c:v>
                </c:pt>
                <c:pt idx="17">
                  <c:v>42</c:v>
                </c:pt>
                <c:pt idx="18">
                  <c:v>46</c:v>
                </c:pt>
                <c:pt idx="19">
                  <c:v>49</c:v>
                </c:pt>
                <c:pt idx="20">
                  <c:v>53</c:v>
                </c:pt>
                <c:pt idx="21">
                  <c:v>57</c:v>
                </c:pt>
              </c:numCache>
            </c:numRef>
          </c:xVal>
          <c:yVal>
            <c:numRef>
              <c:f>'DATOS MONITOREO'!$Q$6:$Q$27</c:f>
              <c:numCache>
                <c:formatCode>General</c:formatCode>
                <c:ptCount val="22"/>
                <c:pt idx="0">
                  <c:v>2750.0000000000005</c:v>
                </c:pt>
                <c:pt idx="1">
                  <c:v>3000</c:v>
                </c:pt>
                <c:pt idx="2">
                  <c:v>3000</c:v>
                </c:pt>
                <c:pt idx="3">
                  <c:v>2500</c:v>
                </c:pt>
                <c:pt idx="4">
                  <c:v>2500</c:v>
                </c:pt>
                <c:pt idx="5">
                  <c:v>2750.0000000000005</c:v>
                </c:pt>
                <c:pt idx="6">
                  <c:v>2650.0000000000005</c:v>
                </c:pt>
                <c:pt idx="7">
                  <c:v>3500.0000000000005</c:v>
                </c:pt>
                <c:pt idx="8">
                  <c:v>3500.0000000000005</c:v>
                </c:pt>
                <c:pt idx="9">
                  <c:v>3250</c:v>
                </c:pt>
                <c:pt idx="10">
                  <c:v>4000</c:v>
                </c:pt>
                <c:pt idx="11">
                  <c:v>3699.9999999999995</c:v>
                </c:pt>
                <c:pt idx="12">
                  <c:v>3500.0000000000005</c:v>
                </c:pt>
                <c:pt idx="13">
                  <c:v>3750</c:v>
                </c:pt>
                <c:pt idx="14">
                  <c:v>3599.9999999999995</c:v>
                </c:pt>
                <c:pt idx="15">
                  <c:v>3900</c:v>
                </c:pt>
                <c:pt idx="16">
                  <c:v>3450</c:v>
                </c:pt>
                <c:pt idx="17">
                  <c:v>3350</c:v>
                </c:pt>
                <c:pt idx="18">
                  <c:v>3699.9999999999995</c:v>
                </c:pt>
                <c:pt idx="19">
                  <c:v>3699.9999999999995</c:v>
                </c:pt>
                <c:pt idx="20">
                  <c:v>3900</c:v>
                </c:pt>
                <c:pt idx="21">
                  <c:v>3699.9999999999995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1A-4375-8BFD-9E26ABBD2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217448"/>
        <c:axId val="517216136"/>
      </c:scatterChart>
      <c:valAx>
        <c:axId val="519743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9739328"/>
        <c:crosses val="autoZero"/>
        <c:crossBetween val="midCat"/>
      </c:valAx>
      <c:valAx>
        <c:axId val="51973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9743264"/>
        <c:crosses val="autoZero"/>
        <c:crossBetween val="midCat"/>
      </c:valAx>
      <c:valAx>
        <c:axId val="5172161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7217448"/>
        <c:crosses val="max"/>
        <c:crossBetween val="midCat"/>
      </c:valAx>
      <c:valAx>
        <c:axId val="517217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7216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/>
              <a:t>Producción</a:t>
            </a:r>
            <a:r>
              <a:rPr lang="es-MX" baseline="0"/>
              <a:t> de biogás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2209392150924075"/>
          <c:y val="0.1115043203869179"/>
          <c:w val="0.83792760279965006"/>
          <c:h val="0.67234215105134343"/>
        </c:manualLayout>
      </c:layout>
      <c:scatterChart>
        <c:scatterStyle val="lineMarker"/>
        <c:varyColors val="0"/>
        <c:ser>
          <c:idx val="0"/>
          <c:order val="0"/>
          <c:tx>
            <c:v>Corrida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xVal>
            <c:numRef>
              <c:f>'DATOS MONITOREO'!$C$6:$C$27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39</c:v>
                </c:pt>
                <c:pt idx="17">
                  <c:v>42</c:v>
                </c:pt>
                <c:pt idx="18">
                  <c:v>46</c:v>
                </c:pt>
                <c:pt idx="19">
                  <c:v>49</c:v>
                </c:pt>
                <c:pt idx="20">
                  <c:v>53</c:v>
                </c:pt>
                <c:pt idx="21">
                  <c:v>57</c:v>
                </c:pt>
              </c:numCache>
            </c:numRef>
          </c:xVal>
          <c:yVal>
            <c:numRef>
              <c:f>'DATOS MONITOREO'!$G$6:$G$27</c:f>
              <c:numCache>
                <c:formatCode>General</c:formatCode>
                <c:ptCount val="22"/>
                <c:pt idx="0">
                  <c:v>0</c:v>
                </c:pt>
                <c:pt idx="1">
                  <c:v>1.3039708295555323</c:v>
                </c:pt>
                <c:pt idx="2">
                  <c:v>4.4707571299047126</c:v>
                </c:pt>
                <c:pt idx="3">
                  <c:v>4.4707571299047544</c:v>
                </c:pt>
                <c:pt idx="4">
                  <c:v>5.4021648653015362</c:v>
                </c:pt>
                <c:pt idx="5">
                  <c:v>6.5198541477777674</c:v>
                </c:pt>
                <c:pt idx="6">
                  <c:v>7.916965750873004</c:v>
                </c:pt>
                <c:pt idx="7">
                  <c:v>9.3140773539682389</c:v>
                </c:pt>
                <c:pt idx="8">
                  <c:v>10.618048183523772</c:v>
                </c:pt>
                <c:pt idx="9">
                  <c:v>11.363174371841293</c:v>
                </c:pt>
                <c:pt idx="10">
                  <c:v>12.853426748476126</c:v>
                </c:pt>
                <c:pt idx="11">
                  <c:v>14.157397578031766</c:v>
                </c:pt>
                <c:pt idx="12">
                  <c:v>16.951620784222239</c:v>
                </c:pt>
                <c:pt idx="13">
                  <c:v>17.510465425460247</c:v>
                </c:pt>
                <c:pt idx="14">
                  <c:v>18.628154707936478</c:v>
                </c:pt>
                <c:pt idx="15">
                  <c:v>19.559562443333302</c:v>
                </c:pt>
                <c:pt idx="16">
                  <c:v>21.794941008285658</c:v>
                </c:pt>
                <c:pt idx="17">
                  <c:v>22.726348743682482</c:v>
                </c:pt>
                <c:pt idx="18">
                  <c:v>24.402882667396831</c:v>
                </c:pt>
                <c:pt idx="19">
                  <c:v>25.148008855714245</c:v>
                </c:pt>
                <c:pt idx="20">
                  <c:v>26.140541066635585</c:v>
                </c:pt>
                <c:pt idx="21">
                  <c:v>27.624423041015429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93-4A9B-B665-62425D97D3B6}"/>
            </c:ext>
          </c:extLst>
        </c:ser>
        <c:ser>
          <c:idx val="1"/>
          <c:order val="1"/>
          <c:tx>
            <c:v>corrida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2">
                    <a:alpha val="60000"/>
                  </a:schemeClr>
                </a:solidFill>
              </a:ln>
              <a:effectLst/>
            </c:spPr>
          </c:marker>
          <c:xVal>
            <c:numRef>
              <c:f>'DATOS MONITOREO 2'!$C$4:$C$17</c:f>
              <c:numCache>
                <c:formatCode>General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  <c:pt idx="13">
                  <c:v>32</c:v>
                </c:pt>
              </c:numCache>
            </c:numRef>
          </c:xVal>
          <c:yVal>
            <c:numRef>
              <c:f>'DATOS MONITOREO 2'!$G$3:$G$17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1.1209049589691333</c:v>
                </c:pt>
                <c:pt idx="3">
                  <c:v>1.8611296926757455</c:v>
                </c:pt>
                <c:pt idx="4">
                  <c:v>2.4242102345664289</c:v>
                </c:pt>
                <c:pt idx="5">
                  <c:v>2.4173567802543734</c:v>
                </c:pt>
                <c:pt idx="6">
                  <c:v>4.0998798138639065</c:v>
                </c:pt>
                <c:pt idx="7">
                  <c:v>5.9523783225759912</c:v>
                </c:pt>
                <c:pt idx="8">
                  <c:v>6.8644219407036919</c:v>
                </c:pt>
                <c:pt idx="9">
                  <c:v>8.1661789276191925</c:v>
                </c:pt>
                <c:pt idx="10">
                  <c:v>8.9042922789661887</c:v>
                </c:pt>
                <c:pt idx="11">
                  <c:v>10.754553300358147</c:v>
                </c:pt>
                <c:pt idx="12">
                  <c:v>12.622751000924589</c:v>
                </c:pt>
                <c:pt idx="13">
                  <c:v>16.219827568291763</c:v>
                </c:pt>
                <c:pt idx="14">
                  <c:v>16.160095851997792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93-4A9B-B665-62425D97D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616416"/>
        <c:axId val="555617728"/>
      </c:scatterChart>
      <c:valAx>
        <c:axId val="555616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Días Transcurridos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5617728"/>
        <c:crosses val="autoZero"/>
        <c:crossBetween val="midCat"/>
      </c:valAx>
      <c:valAx>
        <c:axId val="555617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Biogás producido (L)</a:t>
                </a:r>
              </a:p>
            </c:rich>
          </c:tx>
          <c:layout>
            <c:manualLayout>
              <c:xMode val="edge"/>
              <c:yMode val="edge"/>
              <c:x val="4.7595355665287602E-2"/>
              <c:y val="0.342278109673726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56164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075606932510832E-2"/>
          <c:y val="0.85398271845232843"/>
          <c:w val="0.3349239780878846"/>
          <c:h val="7.44386446076262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/>
              <a:t>Calidad del Biogás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corrida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xVal>
            <c:numRef>
              <c:f>'DATOS MONITOREO'!$C$6:$C$27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39</c:v>
                </c:pt>
                <c:pt idx="17">
                  <c:v>42</c:v>
                </c:pt>
                <c:pt idx="18">
                  <c:v>46</c:v>
                </c:pt>
                <c:pt idx="19">
                  <c:v>49</c:v>
                </c:pt>
                <c:pt idx="20">
                  <c:v>53</c:v>
                </c:pt>
                <c:pt idx="21">
                  <c:v>57</c:v>
                </c:pt>
              </c:numCache>
            </c:numRef>
          </c:xVal>
          <c:yVal>
            <c:numRef>
              <c:f>'DATOS MONITOREO'!$H$6:$H$27</c:f>
              <c:numCache>
                <c:formatCode>General</c:formatCode>
                <c:ptCount val="22"/>
                <c:pt idx="0">
                  <c:v>0</c:v>
                </c:pt>
                <c:pt idx="1">
                  <c:v>3.1</c:v>
                </c:pt>
                <c:pt idx="2">
                  <c:v>12.4</c:v>
                </c:pt>
                <c:pt idx="3">
                  <c:v>12.1</c:v>
                </c:pt>
                <c:pt idx="4">
                  <c:v>11.6</c:v>
                </c:pt>
                <c:pt idx="5">
                  <c:v>12</c:v>
                </c:pt>
                <c:pt idx="6">
                  <c:v>13.8</c:v>
                </c:pt>
                <c:pt idx="7">
                  <c:v>15.4</c:v>
                </c:pt>
                <c:pt idx="8">
                  <c:v>16</c:v>
                </c:pt>
                <c:pt idx="9">
                  <c:v>15.3</c:v>
                </c:pt>
                <c:pt idx="10">
                  <c:v>15.5</c:v>
                </c:pt>
                <c:pt idx="11">
                  <c:v>18.100000000000001</c:v>
                </c:pt>
                <c:pt idx="12">
                  <c:v>30</c:v>
                </c:pt>
                <c:pt idx="13">
                  <c:v>54.1</c:v>
                </c:pt>
                <c:pt idx="14">
                  <c:v>68.599999999999994</c:v>
                </c:pt>
                <c:pt idx="15">
                  <c:v>63.2</c:v>
                </c:pt>
                <c:pt idx="16">
                  <c:v>58.9</c:v>
                </c:pt>
                <c:pt idx="17">
                  <c:v>56.9</c:v>
                </c:pt>
                <c:pt idx="18">
                  <c:v>61.1</c:v>
                </c:pt>
                <c:pt idx="19">
                  <c:v>63.8</c:v>
                </c:pt>
                <c:pt idx="20">
                  <c:v>58.6</c:v>
                </c:pt>
                <c:pt idx="21">
                  <c:v>52.2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9D-4F63-BBF5-DDC3DB2ADC43}"/>
            </c:ext>
          </c:extLst>
        </c:ser>
        <c:ser>
          <c:idx val="1"/>
          <c:order val="1"/>
          <c:tx>
            <c:v>corrida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2">
                    <a:alpha val="60000"/>
                  </a:schemeClr>
                </a:solidFill>
              </a:ln>
              <a:effectLst/>
            </c:spPr>
          </c:marker>
          <c:xVal>
            <c:numRef>
              <c:f>'DATOS MONITOREO 2'!$C$4:$C$17</c:f>
              <c:numCache>
                <c:formatCode>General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  <c:pt idx="13">
                  <c:v>32</c:v>
                </c:pt>
              </c:numCache>
            </c:numRef>
          </c:xVal>
          <c:yVal>
            <c:numRef>
              <c:f>'DATOS MONITOREO 2'!$H$4:$H$17</c:f>
              <c:numCache>
                <c:formatCode>General</c:formatCode>
                <c:ptCount val="14"/>
                <c:pt idx="0">
                  <c:v>0</c:v>
                </c:pt>
                <c:pt idx="1">
                  <c:v>25.8</c:v>
                </c:pt>
                <c:pt idx="2">
                  <c:v>25</c:v>
                </c:pt>
                <c:pt idx="3">
                  <c:v>24</c:v>
                </c:pt>
                <c:pt idx="4">
                  <c:v>20.6</c:v>
                </c:pt>
                <c:pt idx="5">
                  <c:v>21.9</c:v>
                </c:pt>
                <c:pt idx="6">
                  <c:v>7</c:v>
                </c:pt>
                <c:pt idx="7">
                  <c:v>10.6</c:v>
                </c:pt>
                <c:pt idx="8">
                  <c:v>16.899999999999999</c:v>
                </c:pt>
                <c:pt idx="9">
                  <c:v>33</c:v>
                </c:pt>
                <c:pt idx="10">
                  <c:v>54.1</c:v>
                </c:pt>
                <c:pt idx="11">
                  <c:v>60</c:v>
                </c:pt>
                <c:pt idx="12">
                  <c:v>50.2</c:v>
                </c:pt>
                <c:pt idx="13">
                  <c:v>35.799999999999997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9D-4F63-BBF5-DDC3DB2AD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903512"/>
        <c:axId val="555903840"/>
      </c:scatterChart>
      <c:valAx>
        <c:axId val="555903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Días Transcurridos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5903840"/>
        <c:crosses val="autoZero"/>
        <c:crossBetween val="midCat"/>
      </c:valAx>
      <c:valAx>
        <c:axId val="5559038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Concentración en 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5903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138232720909877E-2"/>
          <c:y val="0.88946704578594338"/>
          <c:w val="0.37965503260563016"/>
          <c:h val="6.9564195638223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/>
              <a:t>Contenido</a:t>
            </a:r>
            <a:r>
              <a:rPr lang="es-MX" baseline="0"/>
              <a:t> de H</a:t>
            </a:r>
            <a:r>
              <a:rPr lang="es-MX" sz="800" baseline="0"/>
              <a:t>2</a:t>
            </a:r>
            <a:r>
              <a:rPr lang="es-MX" baseline="0"/>
              <a:t>S en el biogás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corrida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xVal>
            <c:numRef>
              <c:f>'DATOS MONITOREO'!$C$6:$C$27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39</c:v>
                </c:pt>
                <c:pt idx="17">
                  <c:v>42</c:v>
                </c:pt>
                <c:pt idx="18">
                  <c:v>46</c:v>
                </c:pt>
                <c:pt idx="19">
                  <c:v>49</c:v>
                </c:pt>
                <c:pt idx="20">
                  <c:v>53</c:v>
                </c:pt>
                <c:pt idx="21">
                  <c:v>57</c:v>
                </c:pt>
              </c:numCache>
            </c:numRef>
          </c:xVal>
          <c:yVal>
            <c:numRef>
              <c:f>'DATOS MONITOREO'!$J$6:$J$27</c:f>
              <c:numCache>
                <c:formatCode>General</c:formatCode>
                <c:ptCount val="22"/>
                <c:pt idx="0">
                  <c:v>0</c:v>
                </c:pt>
                <c:pt idx="1">
                  <c:v>5000</c:v>
                </c:pt>
                <c:pt idx="2">
                  <c:v>5000</c:v>
                </c:pt>
                <c:pt idx="3">
                  <c:v>3510</c:v>
                </c:pt>
                <c:pt idx="4">
                  <c:v>3738</c:v>
                </c:pt>
                <c:pt idx="5">
                  <c:v>1285</c:v>
                </c:pt>
                <c:pt idx="6">
                  <c:v>550</c:v>
                </c:pt>
                <c:pt idx="7">
                  <c:v>442</c:v>
                </c:pt>
                <c:pt idx="8">
                  <c:v>369</c:v>
                </c:pt>
                <c:pt idx="9">
                  <c:v>175</c:v>
                </c:pt>
                <c:pt idx="10">
                  <c:v>178</c:v>
                </c:pt>
                <c:pt idx="11">
                  <c:v>358</c:v>
                </c:pt>
                <c:pt idx="12">
                  <c:v>415</c:v>
                </c:pt>
                <c:pt idx="13">
                  <c:v>513</c:v>
                </c:pt>
                <c:pt idx="14">
                  <c:v>600</c:v>
                </c:pt>
                <c:pt idx="15">
                  <c:v>871</c:v>
                </c:pt>
                <c:pt idx="16">
                  <c:v>1341</c:v>
                </c:pt>
                <c:pt idx="17">
                  <c:v>1436</c:v>
                </c:pt>
                <c:pt idx="18">
                  <c:v>1056</c:v>
                </c:pt>
                <c:pt idx="19">
                  <c:v>905</c:v>
                </c:pt>
                <c:pt idx="20">
                  <c:v>1000</c:v>
                </c:pt>
                <c:pt idx="21">
                  <c:v>1469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1B-43F5-AC53-AC0CC5CE9D3B}"/>
            </c:ext>
          </c:extLst>
        </c:ser>
        <c:ser>
          <c:idx val="1"/>
          <c:order val="1"/>
          <c:tx>
            <c:v>corrida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2">
                    <a:alpha val="60000"/>
                  </a:schemeClr>
                </a:solidFill>
              </a:ln>
              <a:effectLst/>
            </c:spPr>
          </c:marker>
          <c:xVal>
            <c:numRef>
              <c:f>'DATOS MONITOREO 2'!$C$4:$C$17</c:f>
              <c:numCache>
                <c:formatCode>General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  <c:pt idx="13">
                  <c:v>32</c:v>
                </c:pt>
              </c:numCache>
            </c:numRef>
          </c:xVal>
          <c:yVal>
            <c:numRef>
              <c:f>'DATOS MONITOREO 2'!$J$4:$J$17</c:f>
              <c:numCache>
                <c:formatCode>General</c:formatCode>
                <c:ptCount val="14"/>
                <c:pt idx="0">
                  <c:v>0</c:v>
                </c:pt>
                <c:pt idx="1">
                  <c:v>4412</c:v>
                </c:pt>
                <c:pt idx="2">
                  <c:v>4708</c:v>
                </c:pt>
                <c:pt idx="3">
                  <c:v>3947</c:v>
                </c:pt>
                <c:pt idx="4">
                  <c:v>3309</c:v>
                </c:pt>
                <c:pt idx="5">
                  <c:v>4490</c:v>
                </c:pt>
                <c:pt idx="6">
                  <c:v>1002</c:v>
                </c:pt>
                <c:pt idx="7">
                  <c:v>1430</c:v>
                </c:pt>
                <c:pt idx="8">
                  <c:v>1414</c:v>
                </c:pt>
                <c:pt idx="9">
                  <c:v>1177</c:v>
                </c:pt>
                <c:pt idx="10">
                  <c:v>573</c:v>
                </c:pt>
                <c:pt idx="11">
                  <c:v>535</c:v>
                </c:pt>
                <c:pt idx="12">
                  <c:v>620</c:v>
                </c:pt>
                <c:pt idx="13">
                  <c:v>720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1B-43F5-AC53-AC0CC5CE9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6373712"/>
        <c:axId val="336374040"/>
      </c:scatterChart>
      <c:valAx>
        <c:axId val="336373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Días transcurridos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6374040"/>
        <c:crosses val="autoZero"/>
        <c:crossBetween val="midCat"/>
      </c:valAx>
      <c:valAx>
        <c:axId val="3363740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Concentración de H</a:t>
                </a:r>
                <a:r>
                  <a:rPr lang="en-US" sz="800"/>
                  <a:t>2</a:t>
                </a:r>
                <a:r>
                  <a:rPr lang="en-US"/>
                  <a:t>S en 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6373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430227471566043E-2"/>
          <c:y val="0.87557815689705432"/>
          <c:w val="0.33383618527416692"/>
          <c:h val="7.2296130975974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 Evolución</a:t>
            </a:r>
            <a:r>
              <a:rPr lang="en-US" baseline="0"/>
              <a:t> del</a:t>
            </a:r>
            <a:r>
              <a:rPr lang="en-US"/>
              <a:t> pH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corrida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xVal>
            <c:numRef>
              <c:f>'DATOS MONITOREO'!$C$6:$C$27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39</c:v>
                </c:pt>
                <c:pt idx="17">
                  <c:v>42</c:v>
                </c:pt>
                <c:pt idx="18">
                  <c:v>46</c:v>
                </c:pt>
                <c:pt idx="19">
                  <c:v>49</c:v>
                </c:pt>
                <c:pt idx="20">
                  <c:v>53</c:v>
                </c:pt>
                <c:pt idx="21">
                  <c:v>57</c:v>
                </c:pt>
              </c:numCache>
            </c:numRef>
          </c:xVal>
          <c:yVal>
            <c:numRef>
              <c:f>'DATOS MONITOREO'!$K$6:$K$27</c:f>
              <c:numCache>
                <c:formatCode>General</c:formatCode>
                <c:ptCount val="22"/>
                <c:pt idx="0">
                  <c:v>7.3</c:v>
                </c:pt>
                <c:pt idx="1">
                  <c:v>7</c:v>
                </c:pt>
                <c:pt idx="2">
                  <c:v>6.4</c:v>
                </c:pt>
                <c:pt idx="3">
                  <c:v>6.3</c:v>
                </c:pt>
                <c:pt idx="4">
                  <c:v>6.3</c:v>
                </c:pt>
                <c:pt idx="5">
                  <c:v>6.2</c:v>
                </c:pt>
                <c:pt idx="6">
                  <c:v>7</c:v>
                </c:pt>
                <c:pt idx="7">
                  <c:v>6.9</c:v>
                </c:pt>
                <c:pt idx="8">
                  <c:v>6.8</c:v>
                </c:pt>
                <c:pt idx="9">
                  <c:v>6.8</c:v>
                </c:pt>
                <c:pt idx="10">
                  <c:v>6.9</c:v>
                </c:pt>
                <c:pt idx="11">
                  <c:v>7.2</c:v>
                </c:pt>
                <c:pt idx="12">
                  <c:v>7.3</c:v>
                </c:pt>
                <c:pt idx="13">
                  <c:v>7.7</c:v>
                </c:pt>
                <c:pt idx="14">
                  <c:v>8.1999999999999993</c:v>
                </c:pt>
                <c:pt idx="15">
                  <c:v>8.3000000000000007</c:v>
                </c:pt>
                <c:pt idx="16">
                  <c:v>7.9</c:v>
                </c:pt>
                <c:pt idx="17">
                  <c:v>7.8</c:v>
                </c:pt>
                <c:pt idx="18">
                  <c:v>8.1</c:v>
                </c:pt>
                <c:pt idx="19">
                  <c:v>8.1999999999999993</c:v>
                </c:pt>
                <c:pt idx="20">
                  <c:v>8.4</c:v>
                </c:pt>
                <c:pt idx="21">
                  <c:v>8.1999999999999993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D6-46A9-93A2-4D2F49A0A1BA}"/>
            </c:ext>
          </c:extLst>
        </c:ser>
        <c:ser>
          <c:idx val="1"/>
          <c:order val="1"/>
          <c:tx>
            <c:v>corrida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2">
                    <a:alpha val="60000"/>
                  </a:schemeClr>
                </a:solidFill>
              </a:ln>
              <a:effectLst/>
            </c:spPr>
          </c:marker>
          <c:xVal>
            <c:numRef>
              <c:f>'DATOS MONITOREO 2'!$C$4:$C$17</c:f>
              <c:numCache>
                <c:formatCode>General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  <c:pt idx="13">
                  <c:v>32</c:v>
                </c:pt>
              </c:numCache>
            </c:numRef>
          </c:xVal>
          <c:yVal>
            <c:numRef>
              <c:f>'DATOS MONITOREO 2'!$K$4:$K$17</c:f>
              <c:numCache>
                <c:formatCode>General</c:formatCode>
                <c:ptCount val="14"/>
                <c:pt idx="0">
                  <c:v>7</c:v>
                </c:pt>
                <c:pt idx="1">
                  <c:v>6.5</c:v>
                </c:pt>
                <c:pt idx="2">
                  <c:v>6.2</c:v>
                </c:pt>
                <c:pt idx="3">
                  <c:v>6.2</c:v>
                </c:pt>
                <c:pt idx="4">
                  <c:v>6.2</c:v>
                </c:pt>
                <c:pt idx="5">
                  <c:v>6.1</c:v>
                </c:pt>
                <c:pt idx="6">
                  <c:v>6.2</c:v>
                </c:pt>
                <c:pt idx="7">
                  <c:v>6.3</c:v>
                </c:pt>
                <c:pt idx="8">
                  <c:v>6.4</c:v>
                </c:pt>
                <c:pt idx="9">
                  <c:v>6.6</c:v>
                </c:pt>
                <c:pt idx="10">
                  <c:v>7.7</c:v>
                </c:pt>
                <c:pt idx="11">
                  <c:v>8</c:v>
                </c:pt>
                <c:pt idx="12">
                  <c:v>7.7</c:v>
                </c:pt>
                <c:pt idx="13">
                  <c:v>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D6-46A9-93A2-4D2F49A0A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658224"/>
        <c:axId val="568115624"/>
      </c:scatterChart>
      <c:valAx>
        <c:axId val="311658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Días</a:t>
                </a:r>
                <a:r>
                  <a:rPr lang="es-MX" baseline="0"/>
                  <a:t> Transcurridos.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8115624"/>
        <c:crosses val="autoZero"/>
        <c:crossBetween val="midCat"/>
      </c:valAx>
      <c:valAx>
        <c:axId val="568115624"/>
        <c:scaling>
          <c:orientation val="minMax"/>
          <c:min val="5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1658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40517879627984E-2"/>
          <c:y val="0.88946704578594338"/>
          <c:w val="0.35278911523267559"/>
          <c:h val="6.4883491333336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Potencial Oxido-Reducción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0961987327341657"/>
          <c:y val="0.17171296296296296"/>
          <c:w val="0.8498515867334766"/>
          <c:h val="0.61116349274232096"/>
        </c:manualLayout>
      </c:layout>
      <c:scatterChart>
        <c:scatterStyle val="lineMarker"/>
        <c:varyColors val="0"/>
        <c:ser>
          <c:idx val="0"/>
          <c:order val="0"/>
          <c:tx>
            <c:v>corrida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xVal>
            <c:numRef>
              <c:f>'DATOS MONITOREO'!$C$6:$C$27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39</c:v>
                </c:pt>
                <c:pt idx="17">
                  <c:v>42</c:v>
                </c:pt>
                <c:pt idx="18">
                  <c:v>46</c:v>
                </c:pt>
                <c:pt idx="19">
                  <c:v>49</c:v>
                </c:pt>
                <c:pt idx="20">
                  <c:v>53</c:v>
                </c:pt>
                <c:pt idx="21">
                  <c:v>57</c:v>
                </c:pt>
              </c:numCache>
            </c:numRef>
          </c:xVal>
          <c:yVal>
            <c:numRef>
              <c:f>'DATOS MONITOREO'!$L$6:$L$27</c:f>
              <c:numCache>
                <c:formatCode>General</c:formatCode>
                <c:ptCount val="22"/>
                <c:pt idx="0">
                  <c:v>-350.2</c:v>
                </c:pt>
                <c:pt idx="1">
                  <c:v>-300</c:v>
                </c:pt>
                <c:pt idx="2">
                  <c:v>-212.4</c:v>
                </c:pt>
                <c:pt idx="3">
                  <c:v>-174.6</c:v>
                </c:pt>
                <c:pt idx="4">
                  <c:v>-227.2</c:v>
                </c:pt>
                <c:pt idx="5">
                  <c:v>-226.2</c:v>
                </c:pt>
                <c:pt idx="6">
                  <c:v>-223.1</c:v>
                </c:pt>
                <c:pt idx="7">
                  <c:v>-255.5</c:v>
                </c:pt>
                <c:pt idx="8">
                  <c:v>-282.7</c:v>
                </c:pt>
                <c:pt idx="9">
                  <c:v>-285.39999999999998</c:v>
                </c:pt>
                <c:pt idx="10">
                  <c:v>-281.7</c:v>
                </c:pt>
                <c:pt idx="11">
                  <c:v>-324</c:v>
                </c:pt>
                <c:pt idx="12">
                  <c:v>-322</c:v>
                </c:pt>
                <c:pt idx="13">
                  <c:v>-355.5</c:v>
                </c:pt>
                <c:pt idx="14">
                  <c:v>-373.5</c:v>
                </c:pt>
                <c:pt idx="15">
                  <c:v>-393</c:v>
                </c:pt>
                <c:pt idx="16">
                  <c:v>-369.5</c:v>
                </c:pt>
                <c:pt idx="17">
                  <c:v>-387.1</c:v>
                </c:pt>
                <c:pt idx="18">
                  <c:v>-423.4</c:v>
                </c:pt>
                <c:pt idx="19">
                  <c:v>-438.5</c:v>
                </c:pt>
                <c:pt idx="20">
                  <c:v>-455.3</c:v>
                </c:pt>
                <c:pt idx="21">
                  <c:v>-452.8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5F-494E-BC02-6F389BE2246B}"/>
            </c:ext>
          </c:extLst>
        </c:ser>
        <c:ser>
          <c:idx val="1"/>
          <c:order val="1"/>
          <c:tx>
            <c:v>corrida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2">
                    <a:alpha val="60000"/>
                  </a:schemeClr>
                </a:solidFill>
              </a:ln>
              <a:effectLst/>
            </c:spPr>
          </c:marker>
          <c:xVal>
            <c:numRef>
              <c:f>'DATOS MONITOREO 2'!$C$4:$C$17</c:f>
              <c:numCache>
                <c:formatCode>General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  <c:pt idx="13">
                  <c:v>32</c:v>
                </c:pt>
              </c:numCache>
            </c:numRef>
          </c:xVal>
          <c:yVal>
            <c:numRef>
              <c:f>'DATOS MONITOREO 2'!$L$4:$L$17</c:f>
              <c:numCache>
                <c:formatCode>General</c:formatCode>
                <c:ptCount val="14"/>
                <c:pt idx="0">
                  <c:v>-200</c:v>
                </c:pt>
                <c:pt idx="1">
                  <c:v>-155</c:v>
                </c:pt>
                <c:pt idx="2">
                  <c:v>-163.69999999999999</c:v>
                </c:pt>
                <c:pt idx="3">
                  <c:v>-211.4</c:v>
                </c:pt>
                <c:pt idx="4">
                  <c:v>-202.5</c:v>
                </c:pt>
                <c:pt idx="5">
                  <c:v>-208.5</c:v>
                </c:pt>
                <c:pt idx="6">
                  <c:v>-160.5</c:v>
                </c:pt>
                <c:pt idx="7">
                  <c:v>-175.7</c:v>
                </c:pt>
                <c:pt idx="8">
                  <c:v>-179.5</c:v>
                </c:pt>
                <c:pt idx="9">
                  <c:v>-166</c:v>
                </c:pt>
                <c:pt idx="10">
                  <c:v>-222.6</c:v>
                </c:pt>
                <c:pt idx="11">
                  <c:v>-225.2</c:v>
                </c:pt>
                <c:pt idx="12">
                  <c:v>-199.3</c:v>
                </c:pt>
                <c:pt idx="13">
                  <c:v>-190.5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5F-494E-BC02-6F389BE22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054232"/>
        <c:axId val="507053904"/>
      </c:scatterChart>
      <c:valAx>
        <c:axId val="507054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Días Transcurridos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7053904"/>
        <c:crossesAt val="-500"/>
        <c:crossBetween val="midCat"/>
      </c:valAx>
      <c:valAx>
        <c:axId val="5070539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  mV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7054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ALCALINIDAD PARCIAL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4742825896762904"/>
          <c:y val="0.18300925925925926"/>
          <c:w val="0.80934951881014872"/>
          <c:h val="0.55746099445902608"/>
        </c:manualLayout>
      </c:layout>
      <c:scatterChart>
        <c:scatterStyle val="lineMarker"/>
        <c:varyColors val="0"/>
        <c:ser>
          <c:idx val="0"/>
          <c:order val="0"/>
          <c:tx>
            <c:v>corrida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xVal>
            <c:numRef>
              <c:f>'DATOS MONITOREO'!$C$6:$C$27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39</c:v>
                </c:pt>
                <c:pt idx="17">
                  <c:v>42</c:v>
                </c:pt>
                <c:pt idx="18">
                  <c:v>46</c:v>
                </c:pt>
                <c:pt idx="19">
                  <c:v>49</c:v>
                </c:pt>
                <c:pt idx="20">
                  <c:v>53</c:v>
                </c:pt>
                <c:pt idx="21">
                  <c:v>57</c:v>
                </c:pt>
              </c:numCache>
            </c:numRef>
          </c:xVal>
          <c:yVal>
            <c:numRef>
              <c:f>'DATOS MONITOREO'!$P$6:$P$27</c:f>
              <c:numCache>
                <c:formatCode>General</c:formatCode>
                <c:ptCount val="22"/>
                <c:pt idx="0">
                  <c:v>2250</c:v>
                </c:pt>
                <c:pt idx="1">
                  <c:v>2000</c:v>
                </c:pt>
                <c:pt idx="2">
                  <c:v>1500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1500</c:v>
                </c:pt>
                <c:pt idx="7">
                  <c:v>2000</c:v>
                </c:pt>
                <c:pt idx="8">
                  <c:v>2000</c:v>
                </c:pt>
                <c:pt idx="9">
                  <c:v>2099.9999999999995</c:v>
                </c:pt>
                <c:pt idx="10">
                  <c:v>2199.9999999999995</c:v>
                </c:pt>
                <c:pt idx="11">
                  <c:v>2199.9999999999995</c:v>
                </c:pt>
                <c:pt idx="12">
                  <c:v>2500</c:v>
                </c:pt>
                <c:pt idx="13">
                  <c:v>2500</c:v>
                </c:pt>
                <c:pt idx="14">
                  <c:v>2850.0000000000005</c:v>
                </c:pt>
                <c:pt idx="15">
                  <c:v>2900</c:v>
                </c:pt>
                <c:pt idx="16">
                  <c:v>2350</c:v>
                </c:pt>
                <c:pt idx="17">
                  <c:v>2400</c:v>
                </c:pt>
                <c:pt idx="18">
                  <c:v>2800.0000000000005</c:v>
                </c:pt>
                <c:pt idx="19">
                  <c:v>2850.0000000000005</c:v>
                </c:pt>
                <c:pt idx="20">
                  <c:v>3000</c:v>
                </c:pt>
                <c:pt idx="21">
                  <c:v>2850.0000000000005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1A-4899-A3DA-6170E95A322F}"/>
            </c:ext>
          </c:extLst>
        </c:ser>
        <c:ser>
          <c:idx val="1"/>
          <c:order val="1"/>
          <c:tx>
            <c:v>corrida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2">
                    <a:alpha val="60000"/>
                  </a:schemeClr>
                </a:solidFill>
              </a:ln>
              <a:effectLst/>
            </c:spPr>
          </c:marker>
          <c:xVal>
            <c:numRef>
              <c:f>'DATOS MONITOREO 2'!$C$4:$C$17</c:f>
              <c:numCache>
                <c:formatCode>General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  <c:pt idx="13">
                  <c:v>32</c:v>
                </c:pt>
              </c:numCache>
            </c:numRef>
          </c:xVal>
          <c:yVal>
            <c:numRef>
              <c:f>'DATOS MONITOREO 2'!$P$4:$P$17</c:f>
              <c:numCache>
                <c:formatCode>General</c:formatCode>
                <c:ptCount val="14"/>
                <c:pt idx="0">
                  <c:v>915.00000000000011</c:v>
                </c:pt>
                <c:pt idx="1">
                  <c:v>924.99999999999989</c:v>
                </c:pt>
                <c:pt idx="2">
                  <c:v>905</c:v>
                </c:pt>
                <c:pt idx="3">
                  <c:v>1000</c:v>
                </c:pt>
                <c:pt idx="4">
                  <c:v>880</c:v>
                </c:pt>
                <c:pt idx="5">
                  <c:v>885</c:v>
                </c:pt>
                <c:pt idx="6">
                  <c:v>905</c:v>
                </c:pt>
                <c:pt idx="7">
                  <c:v>1150</c:v>
                </c:pt>
                <c:pt idx="8">
                  <c:v>1150</c:v>
                </c:pt>
                <c:pt idx="9">
                  <c:v>1150</c:v>
                </c:pt>
                <c:pt idx="10">
                  <c:v>2225</c:v>
                </c:pt>
                <c:pt idx="11">
                  <c:v>2300</c:v>
                </c:pt>
                <c:pt idx="12">
                  <c:v>2275</c:v>
                </c:pt>
                <c:pt idx="13">
                  <c:v>2175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1A-4899-A3DA-6170E95A3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862248"/>
        <c:axId val="498862576"/>
      </c:scatterChart>
      <c:valAx>
        <c:axId val="498862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Días Transcurridos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8862576"/>
        <c:crosses val="autoZero"/>
        <c:crossBetween val="midCat"/>
      </c:valAx>
      <c:valAx>
        <c:axId val="4988625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mg/L CaCO3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8862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1227667</xdr:colOff>
      <xdr:row>49</xdr:row>
      <xdr:rowOff>172243</xdr:rowOff>
    </xdr:from>
    <xdr:to>
      <xdr:col>20</xdr:col>
      <xdr:colOff>731573</xdr:colOff>
      <xdr:row>64</xdr:row>
      <xdr:rowOff>57943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1D7BED5-D426-4BA4-91AD-7C12330021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1211791</xdr:colOff>
      <xdr:row>34</xdr:row>
      <xdr:rowOff>162982</xdr:rowOff>
    </xdr:from>
    <xdr:to>
      <xdr:col>20</xdr:col>
      <xdr:colOff>730250</xdr:colOff>
      <xdr:row>49</xdr:row>
      <xdr:rowOff>95249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2CC873E-A833-4C39-B0AB-4064616C93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149489</xdr:colOff>
      <xdr:row>49</xdr:row>
      <xdr:rowOff>141816</xdr:rowOff>
    </xdr:from>
    <xdr:to>
      <xdr:col>27</xdr:col>
      <xdr:colOff>108478</xdr:colOff>
      <xdr:row>64</xdr:row>
      <xdr:rowOff>27516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E5F4F7C-9B69-4BED-AF67-CEC285291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761998</xdr:colOff>
      <xdr:row>1</xdr:row>
      <xdr:rowOff>0</xdr:rowOff>
    </xdr:from>
    <xdr:to>
      <xdr:col>8</xdr:col>
      <xdr:colOff>704849</xdr:colOff>
      <xdr:row>18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54E732B-C3C0-49B5-AAE8-E274F63E41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542925</xdr:colOff>
      <xdr:row>1</xdr:row>
      <xdr:rowOff>57150</xdr:rowOff>
    </xdr:from>
    <xdr:to>
      <xdr:col>16</xdr:col>
      <xdr:colOff>410634</xdr:colOff>
      <xdr:row>17</xdr:row>
      <xdr:rowOff>89959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04AEEAC-DA07-4998-A44A-4726F81B2A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7</xdr:col>
      <xdr:colOff>650876</xdr:colOff>
      <xdr:row>33</xdr:row>
      <xdr:rowOff>106891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CD60528-10CA-453E-AE59-16B4A8822F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21</xdr:row>
      <xdr:rowOff>0</xdr:rowOff>
    </xdr:from>
    <xdr:to>
      <xdr:col>16</xdr:col>
      <xdr:colOff>587376</xdr:colOff>
      <xdr:row>38</xdr:row>
      <xdr:rowOff>64559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DD946EF0-7B70-4E5D-ADD2-A506A7E48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761999</xdr:colOff>
      <xdr:row>35</xdr:row>
      <xdr:rowOff>190499</xdr:rowOff>
    </xdr:from>
    <xdr:to>
      <xdr:col>7</xdr:col>
      <xdr:colOff>142874</xdr:colOff>
      <xdr:row>51</xdr:row>
      <xdr:rowOff>123824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3D4F7025-1204-4946-B733-D77711C96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41</xdr:row>
      <xdr:rowOff>171450</xdr:rowOff>
    </xdr:from>
    <xdr:to>
      <xdr:col>13</xdr:col>
      <xdr:colOff>695325</xdr:colOff>
      <xdr:row>55</xdr:row>
      <xdr:rowOff>115359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98EC41B4-70AC-46AC-8C26-FA57549C9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54</xdr:row>
      <xdr:rowOff>1</xdr:rowOff>
    </xdr:from>
    <xdr:to>
      <xdr:col>6</xdr:col>
      <xdr:colOff>714375</xdr:colOff>
      <xdr:row>67</xdr:row>
      <xdr:rowOff>123825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DA77F115-0641-408A-B10F-730995C10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63</xdr:row>
      <xdr:rowOff>0</xdr:rowOff>
    </xdr:from>
    <xdr:to>
      <xdr:col>15</xdr:col>
      <xdr:colOff>0</xdr:colOff>
      <xdr:row>77</xdr:row>
      <xdr:rowOff>76200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C03C328D-3E4F-4087-981A-B990B9B4F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FC44C4-5B85-452A-BAF8-B952DB761630}" name="Tabla1" displayName="Tabla1" ref="B5:U27" totalsRowShown="0" headerRowDxfId="42" dataDxfId="41" tableBorderDxfId="40">
  <autoFilter ref="B5:U27" xr:uid="{E3269712-F564-4237-A3A1-AEB4191FB257}"/>
  <tableColumns count="20">
    <tableColumn id="1" xr3:uid="{37733BE0-326C-4F9E-9D7C-FBF69140BB1E}" name="Fecha" dataDxfId="39"/>
    <tableColumn id="2" xr3:uid="{22202335-262F-4E05-8F85-2EC7A3EE6F78}" name="Día" dataDxfId="38"/>
    <tableColumn id="3" xr3:uid="{46BC0CB1-D4CD-4587-B0E2-3F6134DEA74C}" name="Presión" dataDxfId="37"/>
    <tableColumn id="4" xr3:uid="{EF8D7151-E29D-4B13-A1F9-F6489454842F}" name="Temperatura" dataDxfId="36"/>
    <tableColumn id="5" xr3:uid="{52739D2D-52CA-48C9-B71E-9C38D22D6CC1}" name="Litros de biogas" dataDxfId="35"/>
    <tableColumn id="6" xr3:uid="{67278A51-AF15-4F5B-846D-203AAB675A88}" name="biogas  corrida 1" dataDxfId="34">
      <calculatedColumnFormula>((D6*F6))/((273.15+E6)*760)*273.15</calculatedColumnFormula>
    </tableColumn>
    <tableColumn id="7" xr3:uid="{F3FB0D37-6B5A-4EE4-8682-AD7D9055AFF4}" name="CH4 % corrida 1" dataDxfId="33"/>
    <tableColumn id="8" xr3:uid="{87FBFCBD-37D1-46BD-996E-74489AFF3C09}" name="CO2 %" dataDxfId="32"/>
    <tableColumn id="9" xr3:uid="{7367C957-233C-4203-ACC3-76ED9809023B}" name="H2S ppm " dataDxfId="31"/>
    <tableColumn id="10" xr3:uid="{46CC3E20-91E0-4216-9301-E3F5CE1716FD}" name="pH" dataDxfId="30"/>
    <tableColumn id="11" xr3:uid="{ED116DD9-EC44-430C-92A3-6FC9429AC715}" name="redox" dataDxfId="29"/>
    <tableColumn id="12" xr3:uid="{8BCF3B1F-05FA-4B37-A10C-F3EEC2453706}" name="conductividad" dataDxfId="28"/>
    <tableColumn id="13" xr3:uid="{9ED58195-474F-4CF9-98DB-6462739AA287}" name="alcalinidad ml 5.7" dataDxfId="27"/>
    <tableColumn id="14" xr3:uid="{58026B9D-C62B-44D4-85D3-B2392B6E85EB}" name="alcalinidad  ml 4.4" dataDxfId="26"/>
    <tableColumn id="15" xr3:uid="{2BE1B0EE-F399-4CE2-A457-B321F8D53784}" name="alcalinidad parcial" dataDxfId="25">
      <calculatedColumnFormula>(((Tabla1[[#This Row],[alcalinidad ml 5.7]]*0.02)/20)*50*1000)</calculatedColumnFormula>
    </tableColumn>
    <tableColumn id="16" xr3:uid="{E8DE0C42-FC45-49AE-AD1E-A8205F5A3794}" name="Alcalinidad total" dataDxfId="24">
      <calculatedColumnFormula>(((Tabla1[[#This Row],[alcalinidad  ml 4.4]]*0.02)/20)*50*1000)</calculatedColumnFormula>
    </tableColumn>
    <tableColumn id="17" xr3:uid="{1A2FB449-CF4C-4B40-BC7C-876921784C2A}" name="Relación alfa" dataDxfId="23">
      <calculatedColumnFormula>Tabla1[[#This Row],[alcalinidad parcial]]/Tabla1[[#This Row],[Alcalinidad total]]</calculatedColumnFormula>
    </tableColumn>
    <tableColumn id="35" xr3:uid="{46294088-EEEF-421C-B27D-BF285D67D0BE}" name="volumen de CH4" dataDxfId="22">
      <calculatedColumnFormula>Tabla1[[#This Row],[biogas  corrida 1]]*(Tabla1[[#This Row],[CH4 % corrida 1]]/100)</calculatedColumnFormula>
    </tableColumn>
    <tableColumn id="36" xr3:uid="{29B32915-2609-4F36-AA20-1C0D3DFD4CBA}" name="volumen de CH4 acumulado" dataDxfId="21">
      <calculatedColumnFormula>Tabla1[[#This Row],[volumen de CH4]]+S5</calculatedColumnFormula>
    </tableColumn>
    <tableColumn id="18" xr3:uid="{F68EC94F-DB71-41A3-A87D-219E3DB000A2}" name="NH4" dataDxfId="20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DB5828F-A885-4C62-83C3-9B9C8FE7B8E8}" name="Tabla17" displayName="Tabla17" ref="B3:R17" totalsRowShown="0" headerRowDxfId="19" dataDxfId="18" tableBorderDxfId="17">
  <autoFilter ref="B3:R17" xr:uid="{33F490CA-F9DC-4D66-A165-0519962A67FC}"/>
  <tableColumns count="17">
    <tableColumn id="1" xr3:uid="{ABA9305F-7429-461F-8DA4-95F4FD8DBBF6}" name="Fecha" dataDxfId="16"/>
    <tableColumn id="2" xr3:uid="{36C3479B-9B2D-49CE-96E5-5C6A50658A8A}" name="Día" dataDxfId="15"/>
    <tableColumn id="3" xr3:uid="{2E695CB3-6D3D-448F-AA23-ED074D1B53EE}" name="Presión" dataDxfId="14"/>
    <tableColumn id="4" xr3:uid="{90A2A5AD-05A1-4A5A-BED1-96911B54CC92}" name="Temperatura" dataDxfId="13"/>
    <tableColumn id="5" xr3:uid="{9E3EC1BF-5EB3-4998-85A6-C87EC6046786}" name="Litros de biogas" dataDxfId="12"/>
    <tableColumn id="6" xr3:uid="{72F65853-C23B-4902-90CF-F328C3DA6C3A}" name="biogas réplica" dataDxfId="11">
      <calculatedColumnFormula>((D4*F4))/((273.15+E4)*760)*273.15</calculatedColumnFormula>
    </tableColumn>
    <tableColumn id="7" xr3:uid="{6BCF4829-8BB1-46B2-92A5-9ADD8BC8A140}" name="CH4 % Réplica" dataDxfId="10"/>
    <tableColumn id="8" xr3:uid="{839AD127-6DE7-448E-9D26-DEF0DBB46F69}" name="CO2 %" dataDxfId="9"/>
    <tableColumn id="9" xr3:uid="{77BA25DA-6994-498C-967A-1BEA67B30D97}" name="H2S ppm réplica" dataDxfId="8"/>
    <tableColumn id="10" xr3:uid="{03124E85-A445-4C6F-8053-116A392AFF93}" name="pH réplica" dataDxfId="7"/>
    <tableColumn id="11" xr3:uid="{44DD12B1-79A6-49E7-B512-65AE02267F30}" name=" Réplica ®" dataDxfId="6"/>
    <tableColumn id="12" xr3:uid="{02B067B2-4F9A-424E-84BE-6D84D71B0C6E}" name="conductividad" dataDxfId="5"/>
    <tableColumn id="13" xr3:uid="{95418ED2-AA22-4B2D-905D-63E5B67174FB}" name="alcalinidad ml 5.7" dataDxfId="4"/>
    <tableColumn id="14" xr3:uid="{8206A0C2-99A3-4322-97C9-140D2030B22D}" name="alcalinidad  ml 4.4" dataDxfId="3"/>
    <tableColumn id="15" xr3:uid="{DAA4C375-6926-4A78-86F7-063DAC65E575}" name="Réplica (b)" dataDxfId="2">
      <calculatedColumnFormula>((Tabla17[[#This Row],[alcalinidad ml 5.7]]*0.02)/20)*50*1000</calculatedColumnFormula>
    </tableColumn>
    <tableColumn id="16" xr3:uid="{CBC6BAAB-8523-4FC0-8569-DD09A55F8CB9}" name="Réplica (a) " dataDxfId="1">
      <calculatedColumnFormula>((Tabla17[[#This Row],[alcalinidad  ml 4.4]]*0.02)/20)*50*1000</calculatedColumnFormula>
    </tableColumn>
    <tableColumn id="17" xr3:uid="{201325EF-8EB4-4467-9D05-4F6AE6D93373}" name="Réplica ©" dataDxfId="0">
      <calculatedColumnFormula>Tabla17[[#This Row],[Réplica (b)]]/Tabla17[[#This Row],[Réplica (a) ]]</calculatedColumnFormula>
    </tableColumn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26EA2-58F1-9147-90AF-622212D50EA8}">
  <dimension ref="A1:M12"/>
  <sheetViews>
    <sheetView workbookViewId="0">
      <selection activeCell="B15" sqref="B15"/>
    </sheetView>
  </sheetViews>
  <sheetFormatPr baseColWidth="10" defaultColWidth="53.83203125" defaultRowHeight="15" x14ac:dyDescent="0.2"/>
  <sheetData>
    <row r="1" spans="1:13" ht="26" x14ac:dyDescent="0.3">
      <c r="A1" s="13" t="s">
        <v>56</v>
      </c>
      <c r="B1" s="14"/>
      <c r="C1" s="14"/>
      <c r="D1" s="14"/>
    </row>
    <row r="2" spans="1:13" ht="21" x14ac:dyDescent="0.25">
      <c r="A2" s="15" t="s">
        <v>57</v>
      </c>
      <c r="B2" s="14" t="s">
        <v>58</v>
      </c>
      <c r="C2" s="14"/>
      <c r="D2" s="14"/>
    </row>
    <row r="3" spans="1:13" ht="21" x14ac:dyDescent="0.25">
      <c r="A3" s="15" t="s">
        <v>59</v>
      </c>
      <c r="B3" s="14" t="s">
        <v>60</v>
      </c>
      <c r="C3" s="14"/>
      <c r="D3" s="14"/>
    </row>
    <row r="4" spans="1:13" ht="22" x14ac:dyDescent="0.25">
      <c r="A4" s="16" t="s">
        <v>61</v>
      </c>
      <c r="B4" s="14" t="s">
        <v>62</v>
      </c>
      <c r="C4" s="14"/>
      <c r="D4" s="14"/>
    </row>
    <row r="5" spans="1:13" ht="21" x14ac:dyDescent="0.25">
      <c r="A5" s="15" t="s">
        <v>63</v>
      </c>
      <c r="B5" s="14" t="s">
        <v>64</v>
      </c>
    </row>
    <row r="6" spans="1:13" ht="21" x14ac:dyDescent="0.25">
      <c r="A6" s="15" t="s">
        <v>65</v>
      </c>
      <c r="B6" s="14" t="s">
        <v>66</v>
      </c>
    </row>
    <row r="7" spans="1:13" ht="21" x14ac:dyDescent="0.25">
      <c r="A7" s="15" t="s">
        <v>67</v>
      </c>
      <c r="B7" s="14" t="s">
        <v>68</v>
      </c>
    </row>
    <row r="11" spans="1:13" ht="21" x14ac:dyDescent="0.25">
      <c r="A11" s="17" t="s">
        <v>69</v>
      </c>
      <c r="B11" s="18" t="s">
        <v>70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21" x14ac:dyDescent="0.25">
      <c r="A12" s="17" t="s">
        <v>71</v>
      </c>
      <c r="B12" s="18" t="s">
        <v>72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6C72F-FC78-427B-BABE-60176ADDB360}">
  <dimension ref="A3:L24"/>
  <sheetViews>
    <sheetView workbookViewId="0">
      <selection activeCell="G24" sqref="G24"/>
    </sheetView>
  </sheetViews>
  <sheetFormatPr baseColWidth="10" defaultColWidth="11.5" defaultRowHeight="15" x14ac:dyDescent="0.2"/>
  <cols>
    <col min="11" max="11" width="25.33203125" customWidth="1"/>
  </cols>
  <sheetData>
    <row r="3" spans="1:12" x14ac:dyDescent="0.2">
      <c r="A3" s="1" t="s">
        <v>12</v>
      </c>
      <c r="E3" t="s">
        <v>13</v>
      </c>
      <c r="F3" t="s">
        <v>14</v>
      </c>
      <c r="G3" t="s">
        <v>15</v>
      </c>
      <c r="H3" t="s">
        <v>16</v>
      </c>
      <c r="I3" t="s">
        <v>17</v>
      </c>
      <c r="J3" t="s">
        <v>18</v>
      </c>
      <c r="K3" t="s">
        <v>30</v>
      </c>
      <c r="L3" t="s">
        <v>31</v>
      </c>
    </row>
    <row r="4" spans="1:12" x14ac:dyDescent="0.2">
      <c r="A4" t="s">
        <v>7</v>
      </c>
      <c r="B4">
        <v>-395.1</v>
      </c>
      <c r="E4" t="s">
        <v>19</v>
      </c>
      <c r="F4">
        <v>23.201599999999999</v>
      </c>
      <c r="G4">
        <v>32.915399999999998</v>
      </c>
      <c r="H4">
        <v>23.785900000000002</v>
      </c>
      <c r="I4">
        <v>23.398900000000001</v>
      </c>
      <c r="J4">
        <f>G4-F4</f>
        <v>9.7137999999999991</v>
      </c>
      <c r="K4">
        <f>((H4-F4)/10)*10^6</f>
        <v>58430.000000000247</v>
      </c>
      <c r="L4">
        <f>((H4-I4)/10)*10^6</f>
        <v>38700.000000000044</v>
      </c>
    </row>
    <row r="5" spans="1:12" x14ac:dyDescent="0.2">
      <c r="A5" t="s">
        <v>8</v>
      </c>
      <c r="B5">
        <v>14.94</v>
      </c>
      <c r="E5" t="s">
        <v>20</v>
      </c>
      <c r="F5">
        <v>25.677099999999999</v>
      </c>
      <c r="G5">
        <v>35.308</v>
      </c>
      <c r="H5">
        <v>26.187100000000001</v>
      </c>
      <c r="I5">
        <v>25.829599999999999</v>
      </c>
      <c r="J5">
        <f t="shared" ref="J5:J6" si="0">G5-F5</f>
        <v>9.6309000000000005</v>
      </c>
      <c r="K5">
        <f t="shared" ref="K5:K6" si="1">((H5-F5)/10)*10^6</f>
        <v>51000.000000000153</v>
      </c>
      <c r="L5">
        <f t="shared" ref="L5:L6" si="2">((H5-I5)/10)*10^6</f>
        <v>35750.000000000167</v>
      </c>
    </row>
    <row r="6" spans="1:12" x14ac:dyDescent="0.2">
      <c r="A6" t="s">
        <v>21</v>
      </c>
      <c r="B6">
        <v>8</v>
      </c>
      <c r="E6" t="s">
        <v>22</v>
      </c>
      <c r="F6">
        <v>24.5943</v>
      </c>
      <c r="G6">
        <v>34.213500000000003</v>
      </c>
      <c r="H6">
        <v>25.145800000000001</v>
      </c>
      <c r="I6">
        <v>24.7943</v>
      </c>
      <c r="J6">
        <f t="shared" si="0"/>
        <v>9.6192000000000029</v>
      </c>
      <c r="K6">
        <f t="shared" si="1"/>
        <v>55150.000000000073</v>
      </c>
      <c r="L6">
        <f t="shared" si="2"/>
        <v>35150.000000000146</v>
      </c>
    </row>
    <row r="7" spans="1:12" x14ac:dyDescent="0.2">
      <c r="J7" t="s">
        <v>32</v>
      </c>
      <c r="K7">
        <f>AVERAGE(K4:K6)</f>
        <v>54860.000000000153</v>
      </c>
      <c r="L7">
        <f>AVERAGE(L4:L6)</f>
        <v>36533.333333333452</v>
      </c>
    </row>
    <row r="8" spans="1:12" x14ac:dyDescent="0.2">
      <c r="J8" t="s">
        <v>33</v>
      </c>
      <c r="K8">
        <f>_xlfn.STDEV.S(K4:K6)</f>
        <v>3723.4795554696302</v>
      </c>
    </row>
    <row r="9" spans="1:12" x14ac:dyDescent="0.2">
      <c r="A9" s="1" t="s">
        <v>23</v>
      </c>
    </row>
    <row r="10" spans="1:12" x14ac:dyDescent="0.2">
      <c r="A10" t="s">
        <v>7</v>
      </c>
      <c r="B10">
        <v>-332.5</v>
      </c>
    </row>
    <row r="11" spans="1:12" x14ac:dyDescent="0.2">
      <c r="A11" t="s">
        <v>8</v>
      </c>
      <c r="B11" t="s">
        <v>24</v>
      </c>
    </row>
    <row r="12" spans="1:12" x14ac:dyDescent="0.2">
      <c r="A12" t="s">
        <v>21</v>
      </c>
      <c r="B12">
        <v>7.2</v>
      </c>
    </row>
    <row r="15" spans="1:12" x14ac:dyDescent="0.2">
      <c r="A15" s="1" t="s">
        <v>25</v>
      </c>
      <c r="E15" t="s">
        <v>26</v>
      </c>
      <c r="F15" t="s">
        <v>14</v>
      </c>
      <c r="G15" t="s">
        <v>15</v>
      </c>
      <c r="H15" t="s">
        <v>16</v>
      </c>
      <c r="I15" t="s">
        <v>17</v>
      </c>
      <c r="J15" t="s">
        <v>18</v>
      </c>
      <c r="K15" t="s">
        <v>30</v>
      </c>
    </row>
    <row r="16" spans="1:12" x14ac:dyDescent="0.2">
      <c r="A16" t="s">
        <v>7</v>
      </c>
      <c r="B16">
        <v>-350.2</v>
      </c>
      <c r="E16" t="s">
        <v>27</v>
      </c>
      <c r="F16">
        <v>24.493600000000001</v>
      </c>
      <c r="G16">
        <v>33.906599999999997</v>
      </c>
      <c r="H16">
        <v>24.868300000000001</v>
      </c>
      <c r="I16">
        <v>24.601199999999999</v>
      </c>
      <c r="J16">
        <f>G16-F16</f>
        <v>9.4129999999999967</v>
      </c>
      <c r="K16">
        <f>((H16-F16)/10)*10^6</f>
        <v>37470.000000000073</v>
      </c>
      <c r="L16">
        <f>((H16-I16)/10)*10^6</f>
        <v>26710.00000000028</v>
      </c>
    </row>
    <row r="17" spans="1:12" x14ac:dyDescent="0.2">
      <c r="A17" t="s">
        <v>8</v>
      </c>
      <c r="B17">
        <v>5.47</v>
      </c>
      <c r="E17" t="s">
        <v>28</v>
      </c>
      <c r="F17">
        <v>21.144600000000001</v>
      </c>
      <c r="G17">
        <v>30.468900000000001</v>
      </c>
      <c r="H17">
        <v>21.5245</v>
      </c>
      <c r="I17">
        <v>21.256</v>
      </c>
      <c r="J17">
        <f t="shared" ref="J17:J18" si="3">G17-F17</f>
        <v>9.3243000000000009</v>
      </c>
      <c r="K17">
        <f t="shared" ref="K17:K18" si="4">((H17-F17)/10)*10^6</f>
        <v>37989.999999999927</v>
      </c>
      <c r="L17">
        <f t="shared" ref="L17:L18" si="5">((H17-I17)/10)*10^6</f>
        <v>26849.999999999949</v>
      </c>
    </row>
    <row r="18" spans="1:12" x14ac:dyDescent="0.2">
      <c r="A18" t="s">
        <v>21</v>
      </c>
      <c r="B18">
        <v>7.3</v>
      </c>
      <c r="E18" t="s">
        <v>29</v>
      </c>
      <c r="F18">
        <v>18.854500000000002</v>
      </c>
      <c r="G18">
        <v>28.158000000000001</v>
      </c>
      <c r="H18">
        <v>19.221299999999999</v>
      </c>
      <c r="I18">
        <v>18.976500000000001</v>
      </c>
      <c r="J18">
        <f t="shared" si="3"/>
        <v>9.3034999999999997</v>
      </c>
      <c r="K18">
        <f t="shared" si="4"/>
        <v>36679.999999999782</v>
      </c>
      <c r="L18">
        <f t="shared" si="5"/>
        <v>24479.999999999789</v>
      </c>
    </row>
    <row r="19" spans="1:12" x14ac:dyDescent="0.2">
      <c r="J19" t="s">
        <v>32</v>
      </c>
      <c r="K19">
        <f>AVERAGE(K16:K18)</f>
        <v>37379.999999999927</v>
      </c>
      <c r="L19">
        <f>AVERAGE(L16:L18)</f>
        <v>26013.333333333343</v>
      </c>
    </row>
    <row r="20" spans="1:12" x14ac:dyDescent="0.2">
      <c r="J20" t="s">
        <v>33</v>
      </c>
      <c r="K20">
        <f>_xlfn.STDEV.S(K16:K18)</f>
        <v>659.62110336170645</v>
      </c>
    </row>
    <row r="23" spans="1:12" x14ac:dyDescent="0.2">
      <c r="B23" t="s">
        <v>37</v>
      </c>
      <c r="C23" t="s">
        <v>38</v>
      </c>
      <c r="D23" t="s">
        <v>39</v>
      </c>
    </row>
    <row r="24" spans="1:12" x14ac:dyDescent="0.2">
      <c r="A24" t="s">
        <v>40</v>
      </c>
      <c r="B24" s="6">
        <v>0.7</v>
      </c>
      <c r="C24" s="6">
        <v>0.2</v>
      </c>
      <c r="D24" s="6">
        <v>0.1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B1A1D-39D8-4F08-8518-4E5F2257ABF5}">
  <dimension ref="A1:U56"/>
  <sheetViews>
    <sheetView zoomScale="80" zoomScaleNormal="80" workbookViewId="0">
      <selection activeCell="E31" sqref="E31"/>
    </sheetView>
  </sheetViews>
  <sheetFormatPr baseColWidth="10" defaultColWidth="11.5" defaultRowHeight="15" x14ac:dyDescent="0.2"/>
  <cols>
    <col min="3" max="3" width="10.1640625" bestFit="1" customWidth="1"/>
    <col min="4" max="4" width="13.5" bestFit="1" customWidth="1"/>
    <col min="5" max="5" width="17.6640625" bestFit="1" customWidth="1"/>
    <col min="6" max="6" width="20" bestFit="1" customWidth="1"/>
    <col min="7" max="7" width="20.33203125" bestFit="1" customWidth="1"/>
    <col min="8" max="8" width="20.1640625" bestFit="1" customWidth="1"/>
    <col min="9" max="9" width="12.83203125" bestFit="1" customWidth="1"/>
    <col min="10" max="10" width="15.1640625" bestFit="1" customWidth="1"/>
    <col min="11" max="11" width="10" bestFit="1" customWidth="1"/>
    <col min="12" max="12" width="17.6640625" bestFit="1" customWidth="1"/>
    <col min="13" max="13" width="18.6640625" bestFit="1" customWidth="1"/>
    <col min="14" max="14" width="21" bestFit="1" customWidth="1"/>
    <col min="15" max="15" width="21.5" bestFit="1" customWidth="1"/>
    <col min="16" max="16" width="21.1640625" bestFit="1" customWidth="1"/>
    <col min="17" max="17" width="20" bestFit="1" customWidth="1"/>
    <col min="18" max="18" width="15.33203125" customWidth="1"/>
    <col min="19" max="19" width="14" customWidth="1"/>
    <col min="20" max="20" width="17" customWidth="1"/>
    <col min="21" max="21" width="13.33203125" customWidth="1"/>
  </cols>
  <sheetData>
    <row r="1" spans="1:21" x14ac:dyDescent="0.2">
      <c r="A1">
        <v>890</v>
      </c>
    </row>
    <row r="5" spans="1:21" ht="32" x14ac:dyDescent="0.2"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42</v>
      </c>
      <c r="H5" s="7" t="s">
        <v>43</v>
      </c>
      <c r="I5" s="7" t="s">
        <v>5</v>
      </c>
      <c r="J5" s="7" t="s">
        <v>45</v>
      </c>
      <c r="K5" s="7" t="s">
        <v>6</v>
      </c>
      <c r="L5" s="7" t="s">
        <v>7</v>
      </c>
      <c r="M5" s="7" t="s">
        <v>8</v>
      </c>
      <c r="N5" s="7" t="s">
        <v>9</v>
      </c>
      <c r="O5" s="7" t="s">
        <v>10</v>
      </c>
      <c r="P5" s="7" t="s">
        <v>48</v>
      </c>
      <c r="Q5" s="7" t="s">
        <v>49</v>
      </c>
      <c r="R5" s="8" t="s">
        <v>11</v>
      </c>
      <c r="S5" s="8" t="s">
        <v>34</v>
      </c>
      <c r="T5" s="8" t="s">
        <v>35</v>
      </c>
      <c r="U5" s="7" t="s">
        <v>36</v>
      </c>
    </row>
    <row r="6" spans="1:21" x14ac:dyDescent="0.2">
      <c r="B6" s="3">
        <v>43888</v>
      </c>
      <c r="C6" s="2">
        <v>0</v>
      </c>
      <c r="D6" s="4">
        <v>759.69999999999993</v>
      </c>
      <c r="E6" s="4">
        <v>20</v>
      </c>
      <c r="F6" s="2">
        <v>0</v>
      </c>
      <c r="G6" s="2">
        <f t="shared" ref="G6:G26" si="0">((D6*F6))/((273.15+E6)*760)*273.15</f>
        <v>0</v>
      </c>
      <c r="H6" s="2">
        <v>0</v>
      </c>
      <c r="I6" s="2">
        <v>0</v>
      </c>
      <c r="J6" s="2">
        <v>0</v>
      </c>
      <c r="K6" s="2">
        <v>7.3</v>
      </c>
      <c r="L6" s="2">
        <v>-350.2</v>
      </c>
      <c r="M6" s="2">
        <v>5.47</v>
      </c>
      <c r="N6" s="2">
        <v>45</v>
      </c>
      <c r="O6" s="2">
        <v>55</v>
      </c>
      <c r="P6" s="2">
        <f>(((Tabla1[[#This Row],[alcalinidad ml 5.7]]*0.02)/20)*50*1000)</f>
        <v>2250</v>
      </c>
      <c r="Q6" s="2">
        <f>(((Tabla1[[#This Row],[alcalinidad  ml 4.4]]*0.02)/20)*50*1000)</f>
        <v>2750.0000000000005</v>
      </c>
      <c r="R6" s="2">
        <f>Tabla1[[#This Row],[alcalinidad parcial]]/Tabla1[[#This Row],[Alcalinidad total]]</f>
        <v>0.81818181818181801</v>
      </c>
      <c r="S6" s="2">
        <f>Tabla1[[#This Row],[biogas  corrida 1]]*(Tabla1[[#This Row],[CH4 % corrida 1]]/100)</f>
        <v>0</v>
      </c>
      <c r="T6" s="2">
        <v>0</v>
      </c>
      <c r="U6" s="2"/>
    </row>
    <row r="7" spans="1:21" x14ac:dyDescent="0.2">
      <c r="B7" s="3">
        <v>43889</v>
      </c>
      <c r="C7" s="2">
        <v>1</v>
      </c>
      <c r="D7" s="4">
        <v>759.69999999999993</v>
      </c>
      <c r="E7" s="4">
        <v>20</v>
      </c>
      <c r="F7" s="2">
        <v>1.3999999999999773</v>
      </c>
      <c r="G7" s="2">
        <f t="shared" si="0"/>
        <v>1.3039708295555323</v>
      </c>
      <c r="H7" s="2">
        <v>3.1</v>
      </c>
      <c r="I7" s="2">
        <v>52</v>
      </c>
      <c r="J7" s="2">
        <v>5000</v>
      </c>
      <c r="K7" s="2">
        <v>7</v>
      </c>
      <c r="L7" s="2">
        <v>-300</v>
      </c>
      <c r="M7" s="2">
        <v>5.2</v>
      </c>
      <c r="N7" s="2">
        <v>40</v>
      </c>
      <c r="O7" s="2">
        <v>60</v>
      </c>
      <c r="P7" s="2">
        <f>(((Tabla1[[#This Row],[alcalinidad ml 5.7]]*0.02)/20)*50*1000)</f>
        <v>2000</v>
      </c>
      <c r="Q7" s="2">
        <f>(((Tabla1[[#This Row],[alcalinidad  ml 4.4]]*0.02)/20)*50*1000)</f>
        <v>3000</v>
      </c>
      <c r="R7" s="2">
        <f>Tabla1[[#This Row],[alcalinidad parcial]]/Tabla1[[#This Row],[Alcalinidad total]]</f>
        <v>0.66666666666666663</v>
      </c>
      <c r="S7" s="2">
        <f>Tabla1[[#This Row],[biogas  corrida 1]]*(Tabla1[[#This Row],[CH4 % corrida 1]]/100)</f>
        <v>4.0423095716221505E-2</v>
      </c>
      <c r="T7" s="2">
        <f>Tabla1[[#This Row],[volumen de CH4]]+S6</f>
        <v>4.0423095716221505E-2</v>
      </c>
      <c r="U7" s="2"/>
    </row>
    <row r="8" spans="1:21" x14ac:dyDescent="0.2">
      <c r="B8" s="3">
        <v>43892</v>
      </c>
      <c r="C8" s="2">
        <v>4</v>
      </c>
      <c r="D8" s="4">
        <v>759.69999999999993</v>
      </c>
      <c r="E8" s="4">
        <v>20</v>
      </c>
      <c r="F8" s="2">
        <v>4.7999999999999545</v>
      </c>
      <c r="G8" s="2">
        <f t="shared" si="0"/>
        <v>4.4707571299047126</v>
      </c>
      <c r="H8" s="2">
        <v>12.4</v>
      </c>
      <c r="I8" s="2">
        <v>80.900000000000006</v>
      </c>
      <c r="J8" s="2">
        <v>5000</v>
      </c>
      <c r="K8" s="2">
        <v>6.4</v>
      </c>
      <c r="L8" s="2">
        <v>-212.4</v>
      </c>
      <c r="M8" s="2">
        <v>4.88</v>
      </c>
      <c r="N8" s="2">
        <v>30</v>
      </c>
      <c r="O8" s="2">
        <v>60</v>
      </c>
      <c r="P8" s="2">
        <f>(((Tabla1[[#This Row],[alcalinidad ml 5.7]]*0.02)/20)*50*1000)</f>
        <v>1500</v>
      </c>
      <c r="Q8" s="2">
        <f>(((Tabla1[[#This Row],[alcalinidad  ml 4.4]]*0.02)/20)*50*1000)</f>
        <v>3000</v>
      </c>
      <c r="R8" s="2">
        <f>Tabla1[[#This Row],[alcalinidad parcial]]/Tabla1[[#This Row],[Alcalinidad total]]</f>
        <v>0.5</v>
      </c>
      <c r="S8" s="2">
        <f>Tabla1[[#This Row],[biogas  corrida 1]]*(Tabla1[[#This Row],[CH4 % corrida 1]]/100)</f>
        <v>0.55437388410818433</v>
      </c>
      <c r="T8" s="2">
        <f>Tabla1[[#This Row],[volumen de CH4]]+S7</f>
        <v>0.59479697982440582</v>
      </c>
      <c r="U8" s="2"/>
    </row>
    <row r="9" spans="1:21" x14ac:dyDescent="0.2">
      <c r="B9" s="3">
        <v>43894</v>
      </c>
      <c r="C9" s="2">
        <v>6</v>
      </c>
      <c r="D9" s="4">
        <v>759.69999999999993</v>
      </c>
      <c r="E9" s="4">
        <v>20</v>
      </c>
      <c r="F9" s="2">
        <v>4.8</v>
      </c>
      <c r="G9" s="2">
        <f t="shared" si="0"/>
        <v>4.4707571299047544</v>
      </c>
      <c r="H9" s="2">
        <v>12.1</v>
      </c>
      <c r="I9" s="2">
        <v>73.5</v>
      </c>
      <c r="J9" s="2">
        <v>3510</v>
      </c>
      <c r="K9" s="2">
        <v>6.3</v>
      </c>
      <c r="L9" s="2">
        <v>-174.6</v>
      </c>
      <c r="M9" s="2">
        <v>7.31</v>
      </c>
      <c r="N9" s="2">
        <v>20</v>
      </c>
      <c r="O9" s="2">
        <v>50</v>
      </c>
      <c r="P9" s="2">
        <f>(((Tabla1[[#This Row],[alcalinidad ml 5.7]]*0.02)/20)*50*1000)</f>
        <v>1000</v>
      </c>
      <c r="Q9" s="2">
        <f>(((Tabla1[[#This Row],[alcalinidad  ml 4.4]]*0.02)/20)*50*1000)</f>
        <v>2500</v>
      </c>
      <c r="R9" s="2">
        <f>Tabla1[[#This Row],[alcalinidad parcial]]/Tabla1[[#This Row],[Alcalinidad total]]</f>
        <v>0.4</v>
      </c>
      <c r="S9" s="2">
        <f>Tabla1[[#This Row],[biogas  corrida 1]]*(Tabla1[[#This Row],[CH4 % corrida 1]]/100)</f>
        <v>0.54096161271847532</v>
      </c>
      <c r="T9" s="2">
        <f>Tabla1[[#This Row],[volumen de CH4]]+S8</f>
        <v>1.0953354968266598</v>
      </c>
      <c r="U9" s="2"/>
    </row>
    <row r="10" spans="1:21" x14ac:dyDescent="0.2">
      <c r="B10" s="3">
        <v>43896</v>
      </c>
      <c r="C10" s="2">
        <v>8</v>
      </c>
      <c r="D10" s="4">
        <v>759.69999999999993</v>
      </c>
      <c r="E10" s="4">
        <v>20</v>
      </c>
      <c r="F10" s="2">
        <f>895.8-A1</f>
        <v>5.7999999999999545</v>
      </c>
      <c r="G10" s="2">
        <f t="shared" si="0"/>
        <v>5.4021648653015362</v>
      </c>
      <c r="H10" s="2">
        <v>11.6</v>
      </c>
      <c r="I10" s="2">
        <v>69.7</v>
      </c>
      <c r="J10" s="2">
        <v>3738</v>
      </c>
      <c r="K10" s="2">
        <v>6.3</v>
      </c>
      <c r="L10" s="2">
        <v>-227.2</v>
      </c>
      <c r="M10" s="2">
        <v>7.75</v>
      </c>
      <c r="N10" s="2">
        <v>20</v>
      </c>
      <c r="O10" s="2">
        <v>50</v>
      </c>
      <c r="P10" s="2">
        <f>(((Tabla1[[#This Row],[alcalinidad ml 5.7]]*0.02)/20)*50*1000)</f>
        <v>1000</v>
      </c>
      <c r="Q10" s="2">
        <f>(((Tabla1[[#This Row],[alcalinidad  ml 4.4]]*0.02)/20)*50*1000)</f>
        <v>2500</v>
      </c>
      <c r="R10" s="2">
        <f>Tabla1[[#This Row],[alcalinidad parcial]]/Tabla1[[#This Row],[Alcalinidad total]]</f>
        <v>0.4</v>
      </c>
      <c r="S10" s="2">
        <f>Tabla1[[#This Row],[biogas  corrida 1]]*(Tabla1[[#This Row],[CH4 % corrida 1]]/100)</f>
        <v>0.62665112437497816</v>
      </c>
      <c r="T10" s="2">
        <f>Tabla1[[#This Row],[volumen de CH4]]+S9</f>
        <v>1.1676127370934535</v>
      </c>
      <c r="U10" s="2"/>
    </row>
    <row r="11" spans="1:21" x14ac:dyDescent="0.2">
      <c r="B11" s="3">
        <v>43899</v>
      </c>
      <c r="C11" s="2">
        <v>11</v>
      </c>
      <c r="D11" s="4">
        <v>759.69999999999993</v>
      </c>
      <c r="E11" s="4">
        <v>20</v>
      </c>
      <c r="F11" s="2">
        <f>897-A1</f>
        <v>7</v>
      </c>
      <c r="G11" s="2">
        <f t="shared" si="0"/>
        <v>6.5198541477777674</v>
      </c>
      <c r="H11" s="2">
        <v>12</v>
      </c>
      <c r="I11" s="2">
        <v>66.099999999999994</v>
      </c>
      <c r="J11" s="2">
        <v>1285</v>
      </c>
      <c r="K11" s="2">
        <v>6.2</v>
      </c>
      <c r="L11" s="2">
        <v>-226.2</v>
      </c>
      <c r="M11" s="2">
        <v>7.53</v>
      </c>
      <c r="N11" s="2">
        <v>20</v>
      </c>
      <c r="O11" s="2">
        <v>55</v>
      </c>
      <c r="P11" s="2">
        <f>(((Tabla1[[#This Row],[alcalinidad ml 5.7]]*0.02)/20)*50*1000)</f>
        <v>1000</v>
      </c>
      <c r="Q11" s="2">
        <f>(((Tabla1[[#This Row],[alcalinidad  ml 4.4]]*0.02)/20)*50*1000)</f>
        <v>2750.0000000000005</v>
      </c>
      <c r="R11" s="2">
        <f>Tabla1[[#This Row],[alcalinidad parcial]]/Tabla1[[#This Row],[Alcalinidad total]]</f>
        <v>0.36363636363636359</v>
      </c>
      <c r="S11" s="2">
        <f>Tabla1[[#This Row],[biogas  corrida 1]]*(Tabla1[[#This Row],[CH4 % corrida 1]]/100)</f>
        <v>0.78238249773333202</v>
      </c>
      <c r="T11" s="2">
        <f>Tabla1[[#This Row],[volumen de CH4]]+S10</f>
        <v>1.4090336221083102</v>
      </c>
      <c r="U11" s="2"/>
    </row>
    <row r="12" spans="1:21" x14ac:dyDescent="0.2">
      <c r="B12" s="3">
        <v>43901</v>
      </c>
      <c r="C12" s="2">
        <v>13</v>
      </c>
      <c r="D12" s="4">
        <v>759.69999999999993</v>
      </c>
      <c r="E12" s="4">
        <v>20</v>
      </c>
      <c r="F12" s="2">
        <f>898.5-A1</f>
        <v>8.5</v>
      </c>
      <c r="G12" s="2">
        <f t="shared" si="0"/>
        <v>7.916965750873004</v>
      </c>
      <c r="H12" s="2">
        <v>13.8</v>
      </c>
      <c r="I12" s="2">
        <v>52.6</v>
      </c>
      <c r="J12" s="2">
        <v>550</v>
      </c>
      <c r="K12" s="2">
        <v>7</v>
      </c>
      <c r="L12" s="2">
        <v>-223.1</v>
      </c>
      <c r="M12" s="2">
        <v>5.38</v>
      </c>
      <c r="N12" s="2">
        <v>30</v>
      </c>
      <c r="O12" s="2">
        <v>53</v>
      </c>
      <c r="P12" s="2">
        <f>(((Tabla1[[#This Row],[alcalinidad ml 5.7]]*0.02)/20)*50*1000)</f>
        <v>1500</v>
      </c>
      <c r="Q12" s="2">
        <f>(((Tabla1[[#This Row],[alcalinidad  ml 4.4]]*0.02)/20)*50*1000)</f>
        <v>2650.0000000000005</v>
      </c>
      <c r="R12" s="2">
        <f>Tabla1[[#This Row],[alcalinidad parcial]]/Tabla1[[#This Row],[Alcalinidad total]]</f>
        <v>0.56603773584905648</v>
      </c>
      <c r="S12" s="2">
        <f>Tabla1[[#This Row],[biogas  corrida 1]]*(Tabla1[[#This Row],[CH4 % corrida 1]]/100)</f>
        <v>1.0925412736204747</v>
      </c>
      <c r="T12" s="2">
        <f>Tabla1[[#This Row],[volumen de CH4]]+S11</f>
        <v>1.8749237713538067</v>
      </c>
      <c r="U12" s="2"/>
    </row>
    <row r="13" spans="1:21" x14ac:dyDescent="0.2">
      <c r="B13" s="3">
        <v>43903</v>
      </c>
      <c r="C13" s="2">
        <v>15</v>
      </c>
      <c r="D13" s="4">
        <v>759.69999999999993</v>
      </c>
      <c r="E13" s="4">
        <v>20</v>
      </c>
      <c r="F13" s="2">
        <f>900-A1</f>
        <v>10</v>
      </c>
      <c r="G13" s="2">
        <f t="shared" si="0"/>
        <v>9.3140773539682389</v>
      </c>
      <c r="H13" s="2">
        <v>15.4</v>
      </c>
      <c r="I13" s="2">
        <v>56.1</v>
      </c>
      <c r="J13" s="2">
        <v>442</v>
      </c>
      <c r="K13" s="2">
        <v>6.9</v>
      </c>
      <c r="L13" s="2">
        <v>-255.5</v>
      </c>
      <c r="M13" s="2">
        <v>8.8000000000000007</v>
      </c>
      <c r="N13" s="2">
        <v>40</v>
      </c>
      <c r="O13" s="2">
        <v>70</v>
      </c>
      <c r="P13" s="2">
        <f>(((Tabla1[[#This Row],[alcalinidad ml 5.7]]*0.02)/20)*50*1000)</f>
        <v>2000</v>
      </c>
      <c r="Q13" s="2">
        <f>(((Tabla1[[#This Row],[alcalinidad  ml 4.4]]*0.02)/20)*50*1000)</f>
        <v>3500.0000000000005</v>
      </c>
      <c r="R13" s="2">
        <f>Tabla1[[#This Row],[alcalinidad parcial]]/Tabla1[[#This Row],[Alcalinidad total]]</f>
        <v>0.5714285714285714</v>
      </c>
      <c r="S13" s="2">
        <f>Tabla1[[#This Row],[biogas  corrida 1]]*(Tabla1[[#This Row],[CH4 % corrida 1]]/100)</f>
        <v>1.4343679125111088</v>
      </c>
      <c r="T13" s="2">
        <f>Tabla1[[#This Row],[volumen de CH4]]+S12</f>
        <v>2.5269091861315838</v>
      </c>
      <c r="U13" s="2"/>
    </row>
    <row r="14" spans="1:21" x14ac:dyDescent="0.2">
      <c r="B14" s="3">
        <v>43906</v>
      </c>
      <c r="C14" s="2">
        <v>18</v>
      </c>
      <c r="D14" s="4">
        <v>759.69999999999993</v>
      </c>
      <c r="E14" s="4">
        <v>20</v>
      </c>
      <c r="F14" s="2">
        <f>901.4-A1</f>
        <v>11.399999999999977</v>
      </c>
      <c r="G14" s="2">
        <f t="shared" si="0"/>
        <v>10.618048183523772</v>
      </c>
      <c r="H14" s="2">
        <v>16</v>
      </c>
      <c r="I14" s="2">
        <v>50.9</v>
      </c>
      <c r="J14" s="2">
        <v>369</v>
      </c>
      <c r="K14" s="2">
        <v>6.8</v>
      </c>
      <c r="L14" s="2">
        <v>-282.7</v>
      </c>
      <c r="M14" s="2">
        <v>9.3699999999999992</v>
      </c>
      <c r="N14" s="2">
        <v>40</v>
      </c>
      <c r="O14" s="2">
        <v>70</v>
      </c>
      <c r="P14" s="2">
        <f>(((Tabla1[[#This Row],[alcalinidad ml 5.7]]*0.02)/20)*50*1000)</f>
        <v>2000</v>
      </c>
      <c r="Q14" s="2">
        <f>(((Tabla1[[#This Row],[alcalinidad  ml 4.4]]*0.02)/20)*50*1000)</f>
        <v>3500.0000000000005</v>
      </c>
      <c r="R14" s="2">
        <f>Tabla1[[#This Row],[alcalinidad parcial]]/Tabla1[[#This Row],[Alcalinidad total]]</f>
        <v>0.5714285714285714</v>
      </c>
      <c r="S14" s="2">
        <f>Tabla1[[#This Row],[biogas  corrida 1]]*(Tabla1[[#This Row],[CH4 % corrida 1]]/100)</f>
        <v>1.6988877093638035</v>
      </c>
      <c r="T14" s="2">
        <f>Tabla1[[#This Row],[volumen de CH4]]+S13</f>
        <v>3.1332556218749126</v>
      </c>
      <c r="U14" s="2"/>
    </row>
    <row r="15" spans="1:21" x14ac:dyDescent="0.2">
      <c r="B15" s="3">
        <v>43908</v>
      </c>
      <c r="C15" s="2">
        <v>21</v>
      </c>
      <c r="D15" s="4">
        <v>759.69999999999993</v>
      </c>
      <c r="E15" s="4">
        <v>20</v>
      </c>
      <c r="F15" s="2">
        <f>902.2-A1</f>
        <v>12.200000000000045</v>
      </c>
      <c r="G15" s="2">
        <f t="shared" si="0"/>
        <v>11.363174371841293</v>
      </c>
      <c r="H15" s="2">
        <v>15.3</v>
      </c>
      <c r="I15" s="2">
        <v>55.5</v>
      </c>
      <c r="J15" s="2">
        <v>175</v>
      </c>
      <c r="K15" s="2">
        <v>6.8</v>
      </c>
      <c r="L15" s="2">
        <v>-285.39999999999998</v>
      </c>
      <c r="M15" s="2">
        <v>9.09</v>
      </c>
      <c r="N15" s="2">
        <v>42</v>
      </c>
      <c r="O15" s="2">
        <v>65</v>
      </c>
      <c r="P15" s="2">
        <f>(((Tabla1[[#This Row],[alcalinidad ml 5.7]]*0.02)/20)*50*1000)</f>
        <v>2099.9999999999995</v>
      </c>
      <c r="Q15" s="2">
        <f>(((Tabla1[[#This Row],[alcalinidad  ml 4.4]]*0.02)/20)*50*1000)</f>
        <v>3250</v>
      </c>
      <c r="R15" s="2">
        <f>Tabla1[[#This Row],[alcalinidad parcial]]/Tabla1[[#This Row],[Alcalinidad total]]</f>
        <v>0.64615384615384597</v>
      </c>
      <c r="S15" s="2">
        <f>Tabla1[[#This Row],[biogas  corrida 1]]*(Tabla1[[#This Row],[CH4 % corrida 1]]/100)</f>
        <v>1.7385656788917179</v>
      </c>
      <c r="T15" s="2">
        <f>Tabla1[[#This Row],[volumen de CH4]]+S14</f>
        <v>3.4374533882555216</v>
      </c>
      <c r="U15" s="2"/>
    </row>
    <row r="16" spans="1:21" x14ac:dyDescent="0.2">
      <c r="B16" s="3">
        <v>43910</v>
      </c>
      <c r="C16" s="2">
        <v>23</v>
      </c>
      <c r="D16" s="4">
        <v>759.69999999999993</v>
      </c>
      <c r="E16" s="4">
        <v>20</v>
      </c>
      <c r="F16" s="2">
        <f>903.8-A1</f>
        <v>13.799999999999955</v>
      </c>
      <c r="G16" s="2">
        <f t="shared" si="0"/>
        <v>12.853426748476126</v>
      </c>
      <c r="H16" s="2">
        <v>15.5</v>
      </c>
      <c r="I16" s="2">
        <v>49</v>
      </c>
      <c r="J16" s="2">
        <v>178</v>
      </c>
      <c r="K16" s="2">
        <v>6.9</v>
      </c>
      <c r="L16" s="2">
        <v>-281.7</v>
      </c>
      <c r="M16" s="2">
        <v>9.24</v>
      </c>
      <c r="N16" s="2">
        <v>44</v>
      </c>
      <c r="O16" s="2">
        <v>80</v>
      </c>
      <c r="P16" s="2">
        <f>(((Tabla1[[#This Row],[alcalinidad ml 5.7]]*0.02)/20)*50*1000)</f>
        <v>2199.9999999999995</v>
      </c>
      <c r="Q16" s="2">
        <f>(((Tabla1[[#This Row],[alcalinidad  ml 4.4]]*0.02)/20)*50*1000)</f>
        <v>4000</v>
      </c>
      <c r="R16" s="2">
        <f>Tabla1[[#This Row],[alcalinidad parcial]]/Tabla1[[#This Row],[Alcalinidad total]]</f>
        <v>0.54999999999999993</v>
      </c>
      <c r="S16" s="2">
        <f>Tabla1[[#This Row],[biogas  corrida 1]]*(Tabla1[[#This Row],[CH4 % corrida 1]]/100)</f>
        <v>1.9922811460137995</v>
      </c>
      <c r="T16" s="2">
        <f>Tabla1[[#This Row],[volumen de CH4]]+S15</f>
        <v>3.7308468249055173</v>
      </c>
      <c r="U16" s="2"/>
    </row>
    <row r="17" spans="2:21" x14ac:dyDescent="0.2">
      <c r="B17" s="3">
        <v>43913</v>
      </c>
      <c r="C17" s="2">
        <v>26</v>
      </c>
      <c r="D17" s="5">
        <v>759.69999999999993</v>
      </c>
      <c r="E17" s="4">
        <v>20</v>
      </c>
      <c r="F17" s="2">
        <f>905.2-A1</f>
        <v>15.200000000000045</v>
      </c>
      <c r="G17" s="2">
        <f t="shared" si="0"/>
        <v>14.157397578031766</v>
      </c>
      <c r="H17" s="2">
        <v>18.100000000000001</v>
      </c>
      <c r="I17" s="2">
        <v>47.7</v>
      </c>
      <c r="J17" s="2">
        <v>358</v>
      </c>
      <c r="K17" s="2">
        <v>7.2</v>
      </c>
      <c r="L17" s="2">
        <v>-324</v>
      </c>
      <c r="M17" s="2">
        <v>10.07</v>
      </c>
      <c r="N17" s="2">
        <v>44</v>
      </c>
      <c r="O17" s="2">
        <v>74</v>
      </c>
      <c r="P17" s="2">
        <f>(((Tabla1[[#This Row],[alcalinidad ml 5.7]]*0.02)/20)*50*1000)</f>
        <v>2199.9999999999995</v>
      </c>
      <c r="Q17" s="2">
        <f>(((Tabla1[[#This Row],[alcalinidad  ml 4.4]]*0.02)/20)*50*1000)</f>
        <v>3699.9999999999995</v>
      </c>
      <c r="R17" s="2">
        <f>Tabla1[[#This Row],[alcalinidad parcial]]/Tabla1[[#This Row],[Alcalinidad total]]</f>
        <v>0.59459459459459452</v>
      </c>
      <c r="S17" s="2">
        <f>Tabla1[[#This Row],[biogas  corrida 1]]*(Tabla1[[#This Row],[CH4 % corrida 1]]/100)</f>
        <v>2.5624889616237501</v>
      </c>
      <c r="T17" s="2">
        <f>Tabla1[[#This Row],[volumen de CH4]]+S16</f>
        <v>4.55477010763755</v>
      </c>
      <c r="U17" s="2">
        <v>120</v>
      </c>
    </row>
    <row r="18" spans="2:21" x14ac:dyDescent="0.2">
      <c r="B18" s="3">
        <v>43915</v>
      </c>
      <c r="C18" s="2">
        <v>28</v>
      </c>
      <c r="D18" s="5">
        <v>759.69999999999993</v>
      </c>
      <c r="E18" s="4">
        <v>20</v>
      </c>
      <c r="F18" s="2">
        <f>908.2-A1</f>
        <v>18.200000000000045</v>
      </c>
      <c r="G18" s="2">
        <f t="shared" si="0"/>
        <v>16.951620784222239</v>
      </c>
      <c r="H18" s="2">
        <v>30</v>
      </c>
      <c r="I18" s="2">
        <v>45.9</v>
      </c>
      <c r="J18" s="2">
        <v>415</v>
      </c>
      <c r="K18" s="2">
        <v>7.3</v>
      </c>
      <c r="L18" s="2">
        <v>-322</v>
      </c>
      <c r="M18" s="2">
        <v>9.1300000000000008</v>
      </c>
      <c r="N18" s="2">
        <v>50</v>
      </c>
      <c r="O18" s="2">
        <v>70</v>
      </c>
      <c r="P18" s="2">
        <f>(((Tabla1[[#This Row],[alcalinidad ml 5.7]]*0.02)/20)*50*1000)</f>
        <v>2500</v>
      </c>
      <c r="Q18" s="2">
        <f>(((Tabla1[[#This Row],[alcalinidad  ml 4.4]]*0.02)/20)*50*1000)</f>
        <v>3500.0000000000005</v>
      </c>
      <c r="R18" s="2">
        <f>Tabla1[[#This Row],[alcalinidad parcial]]/Tabla1[[#This Row],[Alcalinidad total]]</f>
        <v>0.71428571428571419</v>
      </c>
      <c r="S18" s="2">
        <f>Tabla1[[#This Row],[biogas  corrida 1]]*(Tabla1[[#This Row],[CH4 % corrida 1]]/100)</f>
        <v>5.0854862352666714</v>
      </c>
      <c r="T18" s="2">
        <f>Tabla1[[#This Row],[volumen de CH4]]+S17</f>
        <v>7.647975196890421</v>
      </c>
      <c r="U18" s="2"/>
    </row>
    <row r="19" spans="2:21" x14ac:dyDescent="0.2">
      <c r="B19" s="3">
        <v>43917</v>
      </c>
      <c r="C19" s="2">
        <v>30</v>
      </c>
      <c r="D19" s="5">
        <v>759.69999999999993</v>
      </c>
      <c r="E19" s="4">
        <v>20</v>
      </c>
      <c r="F19" s="2">
        <f>908.8-A1</f>
        <v>18.799999999999955</v>
      </c>
      <c r="G19" s="2">
        <f t="shared" si="0"/>
        <v>17.510465425460247</v>
      </c>
      <c r="H19" s="2">
        <v>54.1</v>
      </c>
      <c r="I19" s="2">
        <v>39.6</v>
      </c>
      <c r="J19" s="2">
        <v>513</v>
      </c>
      <c r="K19" s="2">
        <v>7.7</v>
      </c>
      <c r="L19" s="2">
        <v>-355.5</v>
      </c>
      <c r="M19" s="2">
        <v>8.4700000000000006</v>
      </c>
      <c r="N19" s="2">
        <v>50</v>
      </c>
      <c r="O19" s="2">
        <v>75</v>
      </c>
      <c r="P19" s="2">
        <f>(((Tabla1[[#This Row],[alcalinidad ml 5.7]]*0.02)/20)*50*1000)</f>
        <v>2500</v>
      </c>
      <c r="Q19" s="2">
        <f>(((Tabla1[[#This Row],[alcalinidad  ml 4.4]]*0.02)/20)*50*1000)</f>
        <v>3750</v>
      </c>
      <c r="R19" s="2">
        <f>Tabla1[[#This Row],[alcalinidad parcial]]/Tabla1[[#This Row],[Alcalinidad total]]</f>
        <v>0.66666666666666663</v>
      </c>
      <c r="S19" s="2">
        <f>Tabla1[[#This Row],[biogas  corrida 1]]*(Tabla1[[#This Row],[CH4 % corrida 1]]/100)</f>
        <v>9.4731617951739935</v>
      </c>
      <c r="T19" s="2">
        <f>Tabla1[[#This Row],[volumen de CH4]]+S18</f>
        <v>14.558648030440665</v>
      </c>
      <c r="U19" s="2"/>
    </row>
    <row r="20" spans="2:21" x14ac:dyDescent="0.2">
      <c r="B20" s="3">
        <v>43920</v>
      </c>
      <c r="C20" s="2">
        <v>33</v>
      </c>
      <c r="D20" s="5">
        <v>759.69999999999993</v>
      </c>
      <c r="E20" s="4">
        <v>20</v>
      </c>
      <c r="F20" s="2">
        <f>910-A1</f>
        <v>20</v>
      </c>
      <c r="G20" s="2">
        <f t="shared" si="0"/>
        <v>18.628154707936478</v>
      </c>
      <c r="H20" s="2">
        <v>68.599999999999994</v>
      </c>
      <c r="I20" s="2">
        <v>26.5</v>
      </c>
      <c r="J20" s="2">
        <v>600</v>
      </c>
      <c r="K20" s="2">
        <v>8.1999999999999993</v>
      </c>
      <c r="L20" s="2">
        <v>-373.5</v>
      </c>
      <c r="M20" s="2">
        <v>8.5299999999999994</v>
      </c>
      <c r="N20" s="2">
        <v>57</v>
      </c>
      <c r="O20" s="2">
        <v>72</v>
      </c>
      <c r="P20" s="2">
        <f>(((Tabla1[[#This Row],[alcalinidad ml 5.7]]*0.02)/20)*50*1000)</f>
        <v>2850.0000000000005</v>
      </c>
      <c r="Q20" s="2">
        <f>(((Tabla1[[#This Row],[alcalinidad  ml 4.4]]*0.02)/20)*50*1000)</f>
        <v>3599.9999999999995</v>
      </c>
      <c r="R20" s="2">
        <f>Tabla1[[#This Row],[alcalinidad parcial]]/Tabla1[[#This Row],[Alcalinidad total]]</f>
        <v>0.79166666666666685</v>
      </c>
      <c r="S20" s="2">
        <f>Tabla1[[#This Row],[biogas  corrida 1]]*(Tabla1[[#This Row],[CH4 % corrida 1]]/100)</f>
        <v>12.778914129644424</v>
      </c>
      <c r="T20" s="2">
        <f>Tabla1[[#This Row],[volumen de CH4]]+S19</f>
        <v>22.252075924818417</v>
      </c>
      <c r="U20" s="2">
        <v>350</v>
      </c>
    </row>
    <row r="21" spans="2:21" x14ac:dyDescent="0.2">
      <c r="B21" s="3">
        <v>43923</v>
      </c>
      <c r="C21" s="2">
        <v>35</v>
      </c>
      <c r="D21" s="5">
        <v>759.69999999999993</v>
      </c>
      <c r="E21" s="4">
        <v>20</v>
      </c>
      <c r="F21" s="2">
        <f>911-A1</f>
        <v>21</v>
      </c>
      <c r="G21" s="2">
        <f t="shared" si="0"/>
        <v>19.559562443333302</v>
      </c>
      <c r="H21" s="2">
        <v>63.2</v>
      </c>
      <c r="I21" s="2">
        <v>28.1</v>
      </c>
      <c r="J21" s="2">
        <v>871</v>
      </c>
      <c r="K21" s="2">
        <v>8.3000000000000007</v>
      </c>
      <c r="L21" s="2">
        <v>-393</v>
      </c>
      <c r="M21" s="2">
        <v>8.7899999999999991</v>
      </c>
      <c r="N21" s="2">
        <v>58</v>
      </c>
      <c r="O21" s="2">
        <v>78</v>
      </c>
      <c r="P21" s="2">
        <f>(((Tabla1[[#This Row],[alcalinidad ml 5.7]]*0.02)/20)*50*1000)</f>
        <v>2900</v>
      </c>
      <c r="Q21" s="2">
        <f>(((Tabla1[[#This Row],[alcalinidad  ml 4.4]]*0.02)/20)*50*1000)</f>
        <v>3900</v>
      </c>
      <c r="R21" s="2">
        <f>Tabla1[[#This Row],[alcalinidad parcial]]/Tabla1[[#This Row],[Alcalinidad total]]</f>
        <v>0.74358974358974361</v>
      </c>
      <c r="S21" s="2">
        <f>Tabla1[[#This Row],[biogas  corrida 1]]*(Tabla1[[#This Row],[CH4 % corrida 1]]/100)</f>
        <v>12.361643464186647</v>
      </c>
      <c r="T21" s="2">
        <f>Tabla1[[#This Row],[volumen de CH4]]+S20</f>
        <v>25.140557593831069</v>
      </c>
      <c r="U21" s="2"/>
    </row>
    <row r="22" spans="2:21" x14ac:dyDescent="0.2">
      <c r="B22" s="3">
        <v>43927</v>
      </c>
      <c r="C22" s="2">
        <v>39</v>
      </c>
      <c r="D22" s="5">
        <v>759.69999999999993</v>
      </c>
      <c r="E22" s="4">
        <v>20</v>
      </c>
      <c r="F22" s="2">
        <f>913.4-A1</f>
        <v>23.399999999999977</v>
      </c>
      <c r="G22" s="2">
        <f t="shared" si="0"/>
        <v>21.794941008285658</v>
      </c>
      <c r="H22" s="2">
        <v>58.9</v>
      </c>
      <c r="I22" s="2">
        <v>36.5</v>
      </c>
      <c r="J22" s="2">
        <v>1341</v>
      </c>
      <c r="K22" s="2">
        <v>7.9</v>
      </c>
      <c r="L22" s="2">
        <v>-369.5</v>
      </c>
      <c r="M22" s="2">
        <v>9.3000000000000007</v>
      </c>
      <c r="N22" s="2">
        <v>47</v>
      </c>
      <c r="O22" s="2">
        <v>69</v>
      </c>
      <c r="P22" s="2">
        <f>(((Tabla1[[#This Row],[alcalinidad ml 5.7]]*0.02)/20)*50*1000)</f>
        <v>2350</v>
      </c>
      <c r="Q22" s="2">
        <f>(((Tabla1[[#This Row],[alcalinidad  ml 4.4]]*0.02)/20)*50*1000)</f>
        <v>3450</v>
      </c>
      <c r="R22" s="2">
        <f>Tabla1[[#This Row],[alcalinidad parcial]]/Tabla1[[#This Row],[Alcalinidad total]]</f>
        <v>0.6811594202898551</v>
      </c>
      <c r="S22" s="2">
        <f>Tabla1[[#This Row],[biogas  corrida 1]]*(Tabla1[[#This Row],[CH4 % corrida 1]]/100)</f>
        <v>12.837220253880252</v>
      </c>
      <c r="T22" s="2">
        <f>Tabla1[[#This Row],[volumen de CH4]]+S21</f>
        <v>25.1988637180669</v>
      </c>
      <c r="U22" s="2">
        <v>600</v>
      </c>
    </row>
    <row r="23" spans="2:21" x14ac:dyDescent="0.2">
      <c r="B23" s="3">
        <v>43930</v>
      </c>
      <c r="C23" s="2">
        <v>42</v>
      </c>
      <c r="D23" s="5">
        <v>759.69999999999993</v>
      </c>
      <c r="E23" s="4">
        <v>20</v>
      </c>
      <c r="F23" s="2">
        <f>914.4-A1</f>
        <v>24.399999999999977</v>
      </c>
      <c r="G23" s="2">
        <f t="shared" si="0"/>
        <v>22.726348743682482</v>
      </c>
      <c r="H23" s="2">
        <v>56.9</v>
      </c>
      <c r="I23" s="2">
        <v>37.799999999999997</v>
      </c>
      <c r="J23" s="2">
        <v>1436</v>
      </c>
      <c r="K23" s="2">
        <v>7.8</v>
      </c>
      <c r="L23" s="2">
        <v>-387.1</v>
      </c>
      <c r="M23" s="2">
        <v>9.11</v>
      </c>
      <c r="N23" s="2">
        <v>48</v>
      </c>
      <c r="O23" s="2">
        <v>67</v>
      </c>
      <c r="P23" s="2">
        <f>(((Tabla1[[#This Row],[alcalinidad ml 5.7]]*0.02)/20)*50*1000)</f>
        <v>2400</v>
      </c>
      <c r="Q23" s="2">
        <f>(((Tabla1[[#This Row],[alcalinidad  ml 4.4]]*0.02)/20)*50*1000)</f>
        <v>3350</v>
      </c>
      <c r="R23" s="2">
        <f>Tabla1[[#This Row],[alcalinidad parcial]]/Tabla1[[#This Row],[Alcalinidad total]]</f>
        <v>0.71641791044776115</v>
      </c>
      <c r="S23" s="2">
        <f>Tabla1[[#This Row],[biogas  corrida 1]]*(Tabla1[[#This Row],[CH4 % corrida 1]]/100)</f>
        <v>12.931292435155331</v>
      </c>
      <c r="T23" s="2">
        <f>Tabla1[[#This Row],[volumen de CH4]]+S22</f>
        <v>25.768512689035582</v>
      </c>
      <c r="U23" s="2"/>
    </row>
    <row r="24" spans="2:21" x14ac:dyDescent="0.2">
      <c r="B24" s="3">
        <v>43934</v>
      </c>
      <c r="C24" s="2">
        <v>46</v>
      </c>
      <c r="D24" s="5">
        <v>759.69999999999993</v>
      </c>
      <c r="E24" s="4">
        <v>20</v>
      </c>
      <c r="F24" s="2">
        <f>916.2-A1</f>
        <v>26.200000000000045</v>
      </c>
      <c r="G24" s="2">
        <f t="shared" si="0"/>
        <v>24.402882667396831</v>
      </c>
      <c r="H24" s="2">
        <v>61.1</v>
      </c>
      <c r="I24" s="2">
        <v>35.799999999999997</v>
      </c>
      <c r="J24" s="2">
        <v>1056</v>
      </c>
      <c r="K24" s="2">
        <v>8.1</v>
      </c>
      <c r="L24" s="2">
        <v>-423.4</v>
      </c>
      <c r="M24" s="2">
        <v>8.86</v>
      </c>
      <c r="N24" s="2">
        <v>56</v>
      </c>
      <c r="O24" s="2">
        <v>74</v>
      </c>
      <c r="P24" s="2">
        <f>(((Tabla1[[#This Row],[alcalinidad ml 5.7]]*0.02)/20)*50*1000)</f>
        <v>2800.0000000000005</v>
      </c>
      <c r="Q24" s="2">
        <f>(((Tabla1[[#This Row],[alcalinidad  ml 4.4]]*0.02)/20)*50*1000)</f>
        <v>3699.9999999999995</v>
      </c>
      <c r="R24" s="2">
        <f>Tabla1[[#This Row],[alcalinidad parcial]]/Tabla1[[#This Row],[Alcalinidad total]]</f>
        <v>0.75675675675675702</v>
      </c>
      <c r="S24" s="2">
        <f>Tabla1[[#This Row],[biogas  corrida 1]]*(Tabla1[[#This Row],[CH4 % corrida 1]]/100)</f>
        <v>14.910161309779463</v>
      </c>
      <c r="T24" s="2">
        <f>Tabla1[[#This Row],[volumen de CH4]]+S23</f>
        <v>27.841453744934796</v>
      </c>
      <c r="U24" s="2"/>
    </row>
    <row r="25" spans="2:21" x14ac:dyDescent="0.2">
      <c r="B25" s="3">
        <v>43937</v>
      </c>
      <c r="C25" s="2">
        <v>49</v>
      </c>
      <c r="D25" s="5">
        <v>759.69999999999993</v>
      </c>
      <c r="E25" s="4">
        <v>20</v>
      </c>
      <c r="F25" s="2">
        <f>917-A1</f>
        <v>27</v>
      </c>
      <c r="G25" s="2">
        <f t="shared" si="0"/>
        <v>25.148008855714245</v>
      </c>
      <c r="H25" s="2">
        <v>63.8</v>
      </c>
      <c r="I25" s="2">
        <v>29.2</v>
      </c>
      <c r="J25" s="2">
        <v>905</v>
      </c>
      <c r="K25" s="2">
        <v>8.1999999999999993</v>
      </c>
      <c r="L25" s="2">
        <v>-438.5</v>
      </c>
      <c r="M25" s="2">
        <v>9.5</v>
      </c>
      <c r="N25" s="2">
        <v>57</v>
      </c>
      <c r="O25" s="2">
        <v>74</v>
      </c>
      <c r="P25" s="2">
        <f>(((Tabla1[[#This Row],[alcalinidad ml 5.7]]*0.02)/20)*50*1000)</f>
        <v>2850.0000000000005</v>
      </c>
      <c r="Q25" s="2">
        <f>(((Tabla1[[#This Row],[alcalinidad  ml 4.4]]*0.02)/20)*50*1000)</f>
        <v>3699.9999999999995</v>
      </c>
      <c r="R25" s="2">
        <f>Tabla1[[#This Row],[alcalinidad parcial]]/Tabla1[[#This Row],[Alcalinidad total]]</f>
        <v>0.77027027027027051</v>
      </c>
      <c r="S25" s="2">
        <f>Tabla1[[#This Row],[biogas  corrida 1]]*(Tabla1[[#This Row],[CH4 % corrida 1]]/100)</f>
        <v>16.044429649945688</v>
      </c>
      <c r="T25" s="2">
        <f>Tabla1[[#This Row],[volumen de CH4]]+S24</f>
        <v>30.954590959725152</v>
      </c>
      <c r="U25" s="2"/>
    </row>
    <row r="26" spans="2:21" x14ac:dyDescent="0.2">
      <c r="B26" s="3">
        <v>43941</v>
      </c>
      <c r="C26" s="2">
        <v>53</v>
      </c>
      <c r="D26" s="5">
        <v>756.07999999999993</v>
      </c>
      <c r="E26" s="4">
        <v>20</v>
      </c>
      <c r="F26" s="2">
        <f>918.2-A1</f>
        <v>28.200000000000045</v>
      </c>
      <c r="G26" s="2">
        <f t="shared" si="0"/>
        <v>26.140541066635585</v>
      </c>
      <c r="H26" s="2">
        <v>58.6</v>
      </c>
      <c r="I26" s="2">
        <v>32.200000000000003</v>
      </c>
      <c r="J26" s="2">
        <v>1000</v>
      </c>
      <c r="K26" s="2">
        <v>8.4</v>
      </c>
      <c r="L26" s="2">
        <v>-455.3</v>
      </c>
      <c r="M26" s="2">
        <v>9.36</v>
      </c>
      <c r="N26" s="2">
        <v>60</v>
      </c>
      <c r="O26" s="2">
        <v>78</v>
      </c>
      <c r="P26" s="2">
        <f>(((Tabla1[[#This Row],[alcalinidad ml 5.7]]*0.02)/20)*50*1000)</f>
        <v>3000</v>
      </c>
      <c r="Q26" s="2">
        <f>(((Tabla1[[#This Row],[alcalinidad  ml 4.4]]*0.02)/20)*50*1000)</f>
        <v>3900</v>
      </c>
      <c r="R26" s="2">
        <f>Tabla1[[#This Row],[alcalinidad parcial]]/Tabla1[[#This Row],[Alcalinidad total]]</f>
        <v>0.76923076923076927</v>
      </c>
      <c r="S26" s="2">
        <f>Tabla1[[#This Row],[biogas  corrida 1]]*(Tabla1[[#This Row],[CH4 % corrida 1]]/100)</f>
        <v>15.318357065048453</v>
      </c>
      <c r="T26" s="2">
        <f>Tabla1[[#This Row],[volumen de CH4]]+S25</f>
        <v>31.36278671499414</v>
      </c>
      <c r="U26" s="2">
        <v>750</v>
      </c>
    </row>
    <row r="27" spans="2:21" x14ac:dyDescent="0.2">
      <c r="B27" s="3">
        <v>43945</v>
      </c>
      <c r="C27" s="2">
        <v>57</v>
      </c>
      <c r="D27" s="5">
        <v>756.1</v>
      </c>
      <c r="E27" s="4">
        <v>20</v>
      </c>
      <c r="F27" s="2">
        <f>919.8-A1</f>
        <v>29.799999999999955</v>
      </c>
      <c r="G27" s="2">
        <f>((D27*F27))/((273.15+E27)*760)*273.15</f>
        <v>27.624423041015429</v>
      </c>
      <c r="H27" s="2">
        <v>52.2</v>
      </c>
      <c r="I27" s="2">
        <v>34.4</v>
      </c>
      <c r="J27" s="2">
        <v>1469</v>
      </c>
      <c r="K27" s="2">
        <v>8.1999999999999993</v>
      </c>
      <c r="L27" s="2">
        <v>-452.8</v>
      </c>
      <c r="M27" s="2">
        <v>9.66</v>
      </c>
      <c r="N27" s="2">
        <v>57</v>
      </c>
      <c r="O27" s="2">
        <v>74</v>
      </c>
      <c r="P27" s="2">
        <f>(((Tabla1[[#This Row],[alcalinidad ml 5.7]]*0.02)/20)*50*1000)</f>
        <v>2850.0000000000005</v>
      </c>
      <c r="Q27" s="2">
        <f>(((Tabla1[[#This Row],[alcalinidad  ml 4.4]]*0.02)/20)*50*1000)</f>
        <v>3699.9999999999995</v>
      </c>
      <c r="R27" s="2">
        <f>Tabla1[[#This Row],[alcalinidad parcial]]/Tabla1[[#This Row],[Alcalinidad total]]</f>
        <v>0.77027027027027051</v>
      </c>
      <c r="S27" s="2">
        <f>Tabla1[[#This Row],[biogas  corrida 1]]*(Tabla1[[#This Row],[CH4 % corrida 1]]/100)</f>
        <v>14.419948827410055</v>
      </c>
      <c r="T27" s="2">
        <f>Tabla1[[#This Row],[volumen de CH4]]+S26</f>
        <v>29.738305892458506</v>
      </c>
      <c r="U27" s="2"/>
    </row>
    <row r="31" spans="2:21" x14ac:dyDescent="0.2">
      <c r="L31">
        <v>2.6171E-2</v>
      </c>
      <c r="M31">
        <v>1.3084999999999999E-2</v>
      </c>
    </row>
    <row r="32" spans="2:21" x14ac:dyDescent="0.2">
      <c r="G32">
        <f>G6*(H6/100)</f>
        <v>0</v>
      </c>
    </row>
    <row r="33" spans="7:13" x14ac:dyDescent="0.2">
      <c r="G33">
        <f>G7*(H7/100)</f>
        <v>4.0423095716221505E-2</v>
      </c>
    </row>
    <row r="34" spans="7:13" x14ac:dyDescent="0.2">
      <c r="G34">
        <f t="shared" ref="G33:G56" si="1">G8*(H8/100)</f>
        <v>0.55437388410818433</v>
      </c>
      <c r="J34">
        <f>((G27+'DATOS MONITOREO'!G17)/2)</f>
        <v>20.890910309523598</v>
      </c>
      <c r="L34" t="s">
        <v>54</v>
      </c>
      <c r="M34">
        <f>((L31-M31))/1000</f>
        <v>1.3086E-5</v>
      </c>
    </row>
    <row r="35" spans="7:13" x14ac:dyDescent="0.2">
      <c r="G35">
        <f t="shared" si="1"/>
        <v>0.54096161271847532</v>
      </c>
      <c r="J35">
        <f>((G53+'DATOS MONITOREO'!G41)/2)</f>
        <v>8.0792572531508871</v>
      </c>
    </row>
    <row r="36" spans="7:13" x14ac:dyDescent="0.2">
      <c r="G36">
        <f t="shared" si="1"/>
        <v>0.62665112437497816</v>
      </c>
    </row>
    <row r="37" spans="7:13" x14ac:dyDescent="0.2">
      <c r="G37">
        <f t="shared" si="1"/>
        <v>0.78238249773333202</v>
      </c>
      <c r="L37">
        <f>J34/M34</f>
        <v>1596432.0884551122</v>
      </c>
    </row>
    <row r="38" spans="7:13" x14ac:dyDescent="0.2">
      <c r="G38">
        <f t="shared" si="1"/>
        <v>1.0925412736204747</v>
      </c>
      <c r="L38">
        <f>J35/M34</f>
        <v>617397.00849387795</v>
      </c>
    </row>
    <row r="39" spans="7:13" x14ac:dyDescent="0.2">
      <c r="G39">
        <f t="shared" si="1"/>
        <v>1.4343679125111088</v>
      </c>
    </row>
    <row r="40" spans="7:13" x14ac:dyDescent="0.2">
      <c r="G40">
        <f t="shared" si="1"/>
        <v>1.6988877093638035</v>
      </c>
    </row>
    <row r="41" spans="7:13" x14ac:dyDescent="0.2">
      <c r="G41">
        <f t="shared" si="1"/>
        <v>1.7385656788917179</v>
      </c>
      <c r="L41">
        <f>L37/1000</f>
        <v>1596.4320884551121</v>
      </c>
      <c r="M41" t="s">
        <v>55</v>
      </c>
    </row>
    <row r="42" spans="7:13" x14ac:dyDescent="0.2">
      <c r="G42">
        <f t="shared" si="1"/>
        <v>1.9922811460137995</v>
      </c>
      <c r="L42">
        <f>L38/1000</f>
        <v>617.39700849387793</v>
      </c>
    </row>
    <row r="43" spans="7:13" x14ac:dyDescent="0.2">
      <c r="G43">
        <f t="shared" si="1"/>
        <v>2.5624889616237501</v>
      </c>
    </row>
    <row r="44" spans="7:13" x14ac:dyDescent="0.2">
      <c r="G44">
        <f t="shared" si="1"/>
        <v>5.0854862352666714</v>
      </c>
    </row>
    <row r="45" spans="7:13" x14ac:dyDescent="0.2">
      <c r="G45">
        <f t="shared" si="1"/>
        <v>9.4731617951739935</v>
      </c>
    </row>
    <row r="46" spans="7:13" x14ac:dyDescent="0.2">
      <c r="G46">
        <f t="shared" si="1"/>
        <v>12.778914129644424</v>
      </c>
    </row>
    <row r="47" spans="7:13" x14ac:dyDescent="0.2">
      <c r="G47">
        <f t="shared" si="1"/>
        <v>12.361643464186647</v>
      </c>
    </row>
    <row r="48" spans="7:13" x14ac:dyDescent="0.2">
      <c r="G48">
        <f t="shared" si="1"/>
        <v>12.837220253880252</v>
      </c>
    </row>
    <row r="49" spans="7:7" x14ac:dyDescent="0.2">
      <c r="G49">
        <f t="shared" si="1"/>
        <v>12.931292435155331</v>
      </c>
    </row>
    <row r="50" spans="7:7" x14ac:dyDescent="0.2">
      <c r="G50">
        <f t="shared" si="1"/>
        <v>14.910161309779463</v>
      </c>
    </row>
    <row r="51" spans="7:7" x14ac:dyDescent="0.2">
      <c r="G51">
        <f t="shared" si="1"/>
        <v>16.044429649945688</v>
      </c>
    </row>
    <row r="52" spans="7:7" x14ac:dyDescent="0.2">
      <c r="G52">
        <f t="shared" si="1"/>
        <v>15.318357065048453</v>
      </c>
    </row>
    <row r="53" spans="7:7" x14ac:dyDescent="0.2">
      <c r="G53">
        <f t="shared" si="1"/>
        <v>14.419948827410055</v>
      </c>
    </row>
    <row r="54" spans="7:7" x14ac:dyDescent="0.2">
      <c r="G54">
        <f t="shared" si="1"/>
        <v>0</v>
      </c>
    </row>
    <row r="55" spans="7:7" x14ac:dyDescent="0.2">
      <c r="G55">
        <f t="shared" si="1"/>
        <v>0</v>
      </c>
    </row>
    <row r="56" spans="7:7" x14ac:dyDescent="0.2">
      <c r="G56">
        <f t="shared" si="1"/>
        <v>0</v>
      </c>
    </row>
  </sheetData>
  <phoneticPr fontId="2" type="noConversion"/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9CFD8-1CA3-4020-8480-7DA8F1AA0720}">
  <dimension ref="A1:R25"/>
  <sheetViews>
    <sheetView tabSelected="1" workbookViewId="0">
      <selection activeCell="B29" sqref="B29"/>
    </sheetView>
  </sheetViews>
  <sheetFormatPr baseColWidth="10" defaultRowHeight="15" x14ac:dyDescent="0.2"/>
  <sheetData>
    <row r="1" spans="1:18" x14ac:dyDescent="0.2">
      <c r="A1">
        <v>492.6</v>
      </c>
    </row>
    <row r="3" spans="1:18" x14ac:dyDescent="0.2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41</v>
      </c>
      <c r="H3" s="2" t="s">
        <v>44</v>
      </c>
      <c r="I3" s="2" t="s">
        <v>5</v>
      </c>
      <c r="J3" s="2" t="s">
        <v>46</v>
      </c>
      <c r="K3" s="2" t="s">
        <v>47</v>
      </c>
      <c r="L3" s="2" t="s">
        <v>53</v>
      </c>
      <c r="M3" s="2" t="s">
        <v>8</v>
      </c>
      <c r="N3" s="2" t="s">
        <v>9</v>
      </c>
      <c r="O3" s="2" t="s">
        <v>10</v>
      </c>
      <c r="P3" s="2" t="s">
        <v>51</v>
      </c>
      <c r="Q3" s="2" t="s">
        <v>50</v>
      </c>
      <c r="R3" s="2" t="s">
        <v>52</v>
      </c>
    </row>
    <row r="4" spans="1:18" x14ac:dyDescent="0.2">
      <c r="B4" s="3">
        <v>43775</v>
      </c>
      <c r="C4" s="2">
        <v>0</v>
      </c>
      <c r="D4" s="4">
        <v>759.69999999999993</v>
      </c>
      <c r="E4" s="4">
        <v>20</v>
      </c>
      <c r="F4" s="2">
        <f>492.6-A1</f>
        <v>0</v>
      </c>
      <c r="G4" s="2">
        <f>((D4*F4))/((273.15+E4)*760)*273.15</f>
        <v>0</v>
      </c>
      <c r="H4" s="2">
        <v>0</v>
      </c>
      <c r="I4" s="2">
        <v>0</v>
      </c>
      <c r="J4" s="2">
        <v>0</v>
      </c>
      <c r="K4" s="2">
        <v>7</v>
      </c>
      <c r="L4" s="2">
        <v>-200</v>
      </c>
      <c r="M4" s="2">
        <v>7.1</v>
      </c>
      <c r="N4" s="2">
        <v>18.3</v>
      </c>
      <c r="O4" s="2">
        <v>62.5</v>
      </c>
      <c r="P4" s="2">
        <f>((Tabla17[[#This Row],[alcalinidad ml 5.7]]*0.02)/20)*50*1000</f>
        <v>915.00000000000011</v>
      </c>
      <c r="Q4" s="2">
        <f>((Tabla17[[#This Row],[alcalinidad  ml 4.4]]*0.02)/20)*50*1000</f>
        <v>3125</v>
      </c>
      <c r="R4" s="2">
        <f>Tabla17[[#This Row],[Réplica (b)]]/Tabla17[[#This Row],[Réplica (a) ]]</f>
        <v>0.29280000000000006</v>
      </c>
    </row>
    <row r="5" spans="1:18" x14ac:dyDescent="0.2">
      <c r="B5" s="3">
        <v>43777</v>
      </c>
      <c r="C5" s="2">
        <v>2</v>
      </c>
      <c r="D5" s="4">
        <v>761.88571428571436</v>
      </c>
      <c r="E5" s="4">
        <v>20</v>
      </c>
      <c r="F5" s="2">
        <f>493.8-A1</f>
        <v>1.1999999999999886</v>
      </c>
      <c r="G5" s="2">
        <f t="shared" ref="G5:G25" si="0">((D5*F5))/((273.15+E5)*760)*273.15</f>
        <v>1.1209049589691333</v>
      </c>
      <c r="H5" s="2">
        <v>25.8</v>
      </c>
      <c r="I5" s="2">
        <v>64.2</v>
      </c>
      <c r="J5" s="2">
        <v>4412</v>
      </c>
      <c r="K5" s="2">
        <v>6.5</v>
      </c>
      <c r="L5" s="2">
        <v>-155</v>
      </c>
      <c r="M5" s="2">
        <v>7.15</v>
      </c>
      <c r="N5" s="2">
        <v>18.5</v>
      </c>
      <c r="O5" s="2">
        <v>62</v>
      </c>
      <c r="P5" s="2">
        <f>((Tabla17[[#This Row],[alcalinidad ml 5.7]]*0.02)/20)*50*1000</f>
        <v>924.99999999999989</v>
      </c>
      <c r="Q5" s="2">
        <f>((Tabla17[[#This Row],[alcalinidad  ml 4.4]]*0.02)/20)*50*1000</f>
        <v>3100</v>
      </c>
      <c r="R5" s="2">
        <f>Tabla17[[#This Row],[Réplica (b)]]/Tabla17[[#This Row],[Réplica (a) ]]</f>
        <v>0.29838709677419351</v>
      </c>
    </row>
    <row r="6" spans="1:18" x14ac:dyDescent="0.2">
      <c r="B6" s="3">
        <v>43780</v>
      </c>
      <c r="C6" s="2">
        <v>5</v>
      </c>
      <c r="D6" s="4">
        <v>759.01250000000005</v>
      </c>
      <c r="E6" s="4">
        <v>20</v>
      </c>
      <c r="F6" s="2">
        <f>494.6-A1</f>
        <v>2</v>
      </c>
      <c r="G6" s="2">
        <f t="shared" si="0"/>
        <v>1.8611296926757455</v>
      </c>
      <c r="H6" s="2">
        <v>25</v>
      </c>
      <c r="I6" s="2">
        <v>63.7</v>
      </c>
      <c r="J6" s="2">
        <v>4708</v>
      </c>
      <c r="K6" s="2">
        <v>6.2</v>
      </c>
      <c r="L6" s="2">
        <v>-163.69999999999999</v>
      </c>
      <c r="M6" s="2">
        <v>7.16</v>
      </c>
      <c r="N6" s="2">
        <v>18.100000000000001</v>
      </c>
      <c r="O6" s="2">
        <v>61.8</v>
      </c>
      <c r="P6" s="2">
        <f>((Tabla17[[#This Row],[alcalinidad ml 5.7]]*0.02)/20)*50*1000</f>
        <v>905</v>
      </c>
      <c r="Q6" s="2">
        <f>((Tabla17[[#This Row],[alcalinidad  ml 4.4]]*0.02)/20)*50*1000</f>
        <v>3090</v>
      </c>
      <c r="R6" s="2">
        <f>Tabla17[[#This Row],[Réplica (b)]]/Tabla17[[#This Row],[Réplica (a) ]]</f>
        <v>0.29288025889967639</v>
      </c>
    </row>
    <row r="7" spans="1:18" x14ac:dyDescent="0.2">
      <c r="B7" s="3">
        <v>43782</v>
      </c>
      <c r="C7" s="2">
        <v>7</v>
      </c>
      <c r="D7" s="4">
        <v>760.50000000000011</v>
      </c>
      <c r="E7" s="4">
        <v>20</v>
      </c>
      <c r="F7" s="2">
        <f>495.2-A1</f>
        <v>2.5999999999999659</v>
      </c>
      <c r="G7" s="2">
        <f t="shared" si="0"/>
        <v>2.4242102345664289</v>
      </c>
      <c r="H7" s="2">
        <v>24</v>
      </c>
      <c r="I7" s="2">
        <v>65.400000000000006</v>
      </c>
      <c r="J7" s="2">
        <v>3947</v>
      </c>
      <c r="K7" s="2">
        <v>6.2</v>
      </c>
      <c r="L7" s="2">
        <v>-211.4</v>
      </c>
      <c r="M7" s="2">
        <v>6.72</v>
      </c>
      <c r="N7" s="2">
        <v>20</v>
      </c>
      <c r="O7" s="2">
        <v>64</v>
      </c>
      <c r="P7" s="2">
        <f>((Tabla17[[#This Row],[alcalinidad ml 5.7]]*0.02)/20)*50*1000</f>
        <v>1000</v>
      </c>
      <c r="Q7" s="2">
        <f>((Tabla17[[#This Row],[alcalinidad  ml 4.4]]*0.02)/20)*50*1000</f>
        <v>3200</v>
      </c>
      <c r="R7" s="2">
        <f>Tabla17[[#This Row],[Réplica (b)]]/Tabla17[[#This Row],[Réplica (a) ]]</f>
        <v>0.3125</v>
      </c>
    </row>
    <row r="8" spans="1:18" x14ac:dyDescent="0.2">
      <c r="B8" s="3">
        <v>43784</v>
      </c>
      <c r="C8" s="2">
        <v>9</v>
      </c>
      <c r="D8" s="4">
        <v>758.34999999999991</v>
      </c>
      <c r="E8" s="4">
        <v>20</v>
      </c>
      <c r="F8" s="2">
        <f>495.2-A1</f>
        <v>2.5999999999999659</v>
      </c>
      <c r="G8" s="2">
        <f t="shared" si="0"/>
        <v>2.4173567802543734</v>
      </c>
      <c r="H8" s="2">
        <v>20.6</v>
      </c>
      <c r="I8" s="2">
        <v>57.9</v>
      </c>
      <c r="J8" s="2">
        <v>3309</v>
      </c>
      <c r="K8" s="2">
        <v>6.2</v>
      </c>
      <c r="L8" s="2">
        <v>-202.5</v>
      </c>
      <c r="M8" s="2">
        <v>7.63</v>
      </c>
      <c r="N8" s="2">
        <v>17.600000000000001</v>
      </c>
      <c r="O8" s="2">
        <v>68</v>
      </c>
      <c r="P8" s="2">
        <f>((Tabla17[[#This Row],[alcalinidad ml 5.7]]*0.02)/20)*50*1000</f>
        <v>880</v>
      </c>
      <c r="Q8" s="2">
        <f>((Tabla17[[#This Row],[alcalinidad  ml 4.4]]*0.02)/20)*50*1000</f>
        <v>3400.0000000000005</v>
      </c>
      <c r="R8" s="2">
        <f>Tabla17[[#This Row],[Réplica (b)]]/Tabla17[[#This Row],[Réplica (a) ]]</f>
        <v>0.25882352941176467</v>
      </c>
    </row>
    <row r="9" spans="1:18" x14ac:dyDescent="0.2">
      <c r="B9" s="3">
        <v>43787</v>
      </c>
      <c r="C9" s="2">
        <v>12</v>
      </c>
      <c r="D9" s="4">
        <v>760.01249999999993</v>
      </c>
      <c r="E9" s="4">
        <v>20</v>
      </c>
      <c r="F9" s="2">
        <f>497-A1</f>
        <v>4.3999999999999773</v>
      </c>
      <c r="G9" s="2">
        <f t="shared" si="0"/>
        <v>4.0998798138639065</v>
      </c>
      <c r="H9" s="2">
        <v>21.9</v>
      </c>
      <c r="I9" s="2">
        <v>64.2</v>
      </c>
      <c r="J9" s="2">
        <v>4490</v>
      </c>
      <c r="K9" s="2">
        <v>6.1</v>
      </c>
      <c r="L9" s="2">
        <v>-208.5</v>
      </c>
      <c r="M9" s="2">
        <v>8.36</v>
      </c>
      <c r="N9" s="2">
        <v>17.7</v>
      </c>
      <c r="O9" s="2">
        <v>62</v>
      </c>
      <c r="P9" s="2">
        <f>((Tabla17[[#This Row],[alcalinidad ml 5.7]]*0.02)/20)*50*1000</f>
        <v>885</v>
      </c>
      <c r="Q9" s="2">
        <f>((Tabla17[[#This Row],[alcalinidad  ml 4.4]]*0.02)/20)*50*1000</f>
        <v>3100</v>
      </c>
      <c r="R9" s="2">
        <f>Tabla17[[#This Row],[Réplica (b)]]/Tabla17[[#This Row],[Réplica (a) ]]</f>
        <v>0.28548387096774192</v>
      </c>
    </row>
    <row r="10" spans="1:18" x14ac:dyDescent="0.2">
      <c r="B10" s="3">
        <v>43792</v>
      </c>
      <c r="C10" s="2">
        <v>17</v>
      </c>
      <c r="D10" s="4">
        <v>758.6</v>
      </c>
      <c r="E10" s="4">
        <v>20</v>
      </c>
      <c r="F10" s="2">
        <f>499-A1</f>
        <v>6.3999999999999773</v>
      </c>
      <c r="G10" s="2">
        <f t="shared" si="0"/>
        <v>5.9523783225759912</v>
      </c>
      <c r="H10" s="2">
        <v>7</v>
      </c>
      <c r="I10" s="2">
        <v>40.200000000000003</v>
      </c>
      <c r="J10" s="2">
        <v>1002</v>
      </c>
      <c r="K10" s="2">
        <v>6.2</v>
      </c>
      <c r="L10" s="2">
        <v>-160.5</v>
      </c>
      <c r="M10" s="2">
        <v>7.16</v>
      </c>
      <c r="N10" s="2">
        <v>18.100000000000001</v>
      </c>
      <c r="O10" s="2">
        <v>62</v>
      </c>
      <c r="P10" s="2">
        <f>((Tabla17[[#This Row],[alcalinidad ml 5.7]]*0.02)/20)*50*1000</f>
        <v>905</v>
      </c>
      <c r="Q10" s="2">
        <f>((Tabla17[[#This Row],[alcalinidad  ml 4.4]]*0.02)/20)*50*1000</f>
        <v>3100</v>
      </c>
      <c r="R10" s="2">
        <f>Tabla17[[#This Row],[Réplica (b)]]/Tabla17[[#This Row],[Réplica (a) ]]</f>
        <v>0.29193548387096774</v>
      </c>
    </row>
    <row r="11" spans="1:18" x14ac:dyDescent="0.2">
      <c r="B11" s="3">
        <v>43794</v>
      </c>
      <c r="C11" s="2">
        <v>19</v>
      </c>
      <c r="D11" s="4">
        <v>756.61428571428576</v>
      </c>
      <c r="E11" s="4">
        <v>20</v>
      </c>
      <c r="F11" s="2">
        <f>500-A1</f>
        <v>7.3999999999999773</v>
      </c>
      <c r="G11" s="2">
        <f t="shared" si="0"/>
        <v>6.8644219407036919</v>
      </c>
      <c r="H11" s="2">
        <v>10.6</v>
      </c>
      <c r="I11" s="2">
        <v>38.299999999999997</v>
      </c>
      <c r="J11" s="2">
        <v>1430</v>
      </c>
      <c r="K11" s="2">
        <v>6.3</v>
      </c>
      <c r="L11" s="2">
        <v>-175.7</v>
      </c>
      <c r="M11" s="2">
        <v>7.34</v>
      </c>
      <c r="N11" s="2">
        <v>23</v>
      </c>
      <c r="O11" s="2">
        <v>62</v>
      </c>
      <c r="P11" s="2">
        <f>((Tabla17[[#This Row],[alcalinidad ml 5.7]]*0.02)/20)*50*1000</f>
        <v>1150</v>
      </c>
      <c r="Q11" s="2">
        <f>((Tabla17[[#This Row],[alcalinidad  ml 4.4]]*0.02)/20)*50*1000</f>
        <v>3100</v>
      </c>
      <c r="R11" s="2">
        <f>Tabla17[[#This Row],[Réplica (b)]]/Tabla17[[#This Row],[Réplica (a) ]]</f>
        <v>0.37096774193548387</v>
      </c>
    </row>
    <row r="12" spans="1:18" x14ac:dyDescent="0.2">
      <c r="B12" s="3">
        <v>43796</v>
      </c>
      <c r="C12" s="2">
        <v>21</v>
      </c>
      <c r="D12" s="4">
        <v>756.89999999999986</v>
      </c>
      <c r="E12" s="4">
        <v>20</v>
      </c>
      <c r="F12" s="2">
        <f>501.4-A1</f>
        <v>8.7999999999999545</v>
      </c>
      <c r="G12" s="2">
        <f t="shared" si="0"/>
        <v>8.1661789276191925</v>
      </c>
      <c r="H12" s="2">
        <v>16.899999999999999</v>
      </c>
      <c r="I12" s="2">
        <v>40.6</v>
      </c>
      <c r="J12" s="2">
        <v>1414</v>
      </c>
      <c r="K12" s="2">
        <v>6.4</v>
      </c>
      <c r="L12" s="2">
        <v>-179.5</v>
      </c>
      <c r="M12" s="2">
        <v>6.37</v>
      </c>
      <c r="N12" s="2">
        <v>23</v>
      </c>
      <c r="O12" s="2">
        <v>58</v>
      </c>
      <c r="P12" s="2">
        <f>((Tabla17[[#This Row],[alcalinidad ml 5.7]]*0.02)/20)*50*1000</f>
        <v>1150</v>
      </c>
      <c r="Q12" s="2">
        <f>((Tabla17[[#This Row],[alcalinidad  ml 4.4]]*0.02)/20)*50*1000</f>
        <v>2900</v>
      </c>
      <c r="R12" s="2">
        <f>Tabla17[[#This Row],[Réplica (b)]]/Tabla17[[#This Row],[Réplica (a) ]]</f>
        <v>0.39655172413793105</v>
      </c>
    </row>
    <row r="13" spans="1:18" x14ac:dyDescent="0.2">
      <c r="B13" s="3">
        <v>43798</v>
      </c>
      <c r="C13" s="2">
        <v>23</v>
      </c>
      <c r="D13" s="4">
        <v>756.53750000000002</v>
      </c>
      <c r="E13" s="4">
        <v>20</v>
      </c>
      <c r="F13" s="2">
        <f>502.2-A1</f>
        <v>9.5999999999999659</v>
      </c>
      <c r="G13" s="2">
        <f t="shared" si="0"/>
        <v>8.9042922789661887</v>
      </c>
      <c r="H13" s="2">
        <v>33</v>
      </c>
      <c r="I13" s="2">
        <v>41.3</v>
      </c>
      <c r="J13" s="2">
        <v>1177</v>
      </c>
      <c r="K13" s="2">
        <v>6.6</v>
      </c>
      <c r="L13" s="2">
        <v>-166</v>
      </c>
      <c r="M13" s="2">
        <v>5.87</v>
      </c>
      <c r="N13" s="2">
        <v>23</v>
      </c>
      <c r="O13" s="2">
        <v>57</v>
      </c>
      <c r="P13" s="2">
        <f>((Tabla17[[#This Row],[alcalinidad ml 5.7]]*0.02)/20)*50*1000</f>
        <v>1150</v>
      </c>
      <c r="Q13" s="2">
        <f>((Tabla17[[#This Row],[alcalinidad  ml 4.4]]*0.02)/20)*50*1000</f>
        <v>2850.0000000000005</v>
      </c>
      <c r="R13" s="2">
        <f>Tabla17[[#This Row],[Réplica (b)]]/Tabla17[[#This Row],[Réplica (a) ]]</f>
        <v>0.40350877192982448</v>
      </c>
    </row>
    <row r="14" spans="1:18" x14ac:dyDescent="0.2">
      <c r="B14" s="3">
        <v>43801</v>
      </c>
      <c r="C14" s="2">
        <v>25</v>
      </c>
      <c r="D14" s="4">
        <v>756.19999999999993</v>
      </c>
      <c r="E14" s="4">
        <v>20</v>
      </c>
      <c r="F14" s="2">
        <f>504.2-A1</f>
        <v>11.599999999999966</v>
      </c>
      <c r="G14" s="2">
        <f t="shared" si="0"/>
        <v>10.754553300358147</v>
      </c>
      <c r="H14" s="2">
        <v>54.1</v>
      </c>
      <c r="I14" s="2">
        <v>36</v>
      </c>
      <c r="J14" s="2">
        <v>573</v>
      </c>
      <c r="K14" s="2">
        <v>7.7</v>
      </c>
      <c r="L14" s="2">
        <v>-222.6</v>
      </c>
      <c r="M14" s="2">
        <v>6.93</v>
      </c>
      <c r="N14" s="2">
        <v>44.5</v>
      </c>
      <c r="O14" s="2">
        <v>66.5</v>
      </c>
      <c r="P14" s="2">
        <f>((Tabla17[[#This Row],[alcalinidad ml 5.7]]*0.02)/20)*50*1000</f>
        <v>2225</v>
      </c>
      <c r="Q14" s="2">
        <f>((Tabla17[[#This Row],[alcalinidad  ml 4.4]]*0.02)/20)*50*1000</f>
        <v>3325</v>
      </c>
      <c r="R14" s="2">
        <f>Tabla17[[#This Row],[Réplica (b)]]/Tabla17[[#This Row],[Réplica (a) ]]</f>
        <v>0.66917293233082709</v>
      </c>
    </row>
    <row r="15" spans="1:18" x14ac:dyDescent="0.2">
      <c r="B15" s="3">
        <v>43803</v>
      </c>
      <c r="C15" s="2">
        <v>27</v>
      </c>
      <c r="D15" s="4">
        <v>757.03750000000002</v>
      </c>
      <c r="E15" s="4">
        <v>20</v>
      </c>
      <c r="F15" s="2">
        <f>506.2-A1</f>
        <v>13.599999999999966</v>
      </c>
      <c r="G15" s="2">
        <f t="shared" si="0"/>
        <v>12.622751000924589</v>
      </c>
      <c r="H15" s="2">
        <v>60</v>
      </c>
      <c r="I15" s="2">
        <v>35.5</v>
      </c>
      <c r="J15" s="2">
        <v>535</v>
      </c>
      <c r="K15" s="2">
        <v>8</v>
      </c>
      <c r="L15" s="2">
        <v>-225.2</v>
      </c>
      <c r="M15" s="2">
        <v>6.84</v>
      </c>
      <c r="N15" s="2">
        <v>46</v>
      </c>
      <c r="O15" s="2">
        <v>66</v>
      </c>
      <c r="P15" s="2">
        <f>((Tabla17[[#This Row],[alcalinidad ml 5.7]]*0.02)/20)*50*1000</f>
        <v>2300</v>
      </c>
      <c r="Q15" s="2">
        <f>((Tabla17[[#This Row],[alcalinidad  ml 4.4]]*0.02)/20)*50*1000</f>
        <v>3300.0000000000005</v>
      </c>
      <c r="R15" s="2">
        <f>Tabla17[[#This Row],[Réplica (b)]]/Tabla17[[#This Row],[Réplica (a) ]]</f>
        <v>0.69696969696969691</v>
      </c>
    </row>
    <row r="16" spans="1:18" x14ac:dyDescent="0.2">
      <c r="B16" s="3">
        <v>43805</v>
      </c>
      <c r="C16" s="2">
        <v>29</v>
      </c>
      <c r="D16" s="5">
        <v>760.32499999999993</v>
      </c>
      <c r="E16" s="4">
        <v>20</v>
      </c>
      <c r="F16" s="2">
        <f>510-A1</f>
        <v>17.399999999999977</v>
      </c>
      <c r="G16" s="2">
        <f t="shared" si="0"/>
        <v>16.219827568291763</v>
      </c>
      <c r="H16" s="2">
        <v>50.2</v>
      </c>
      <c r="I16" s="2">
        <v>42.4</v>
      </c>
      <c r="J16" s="2">
        <v>620</v>
      </c>
      <c r="K16" s="2">
        <v>7.7</v>
      </c>
      <c r="L16" s="2">
        <v>-199.3</v>
      </c>
      <c r="M16" s="2">
        <v>6.87</v>
      </c>
      <c r="N16" s="2">
        <v>45.5</v>
      </c>
      <c r="O16" s="2">
        <v>60.5</v>
      </c>
      <c r="P16" s="2">
        <f>((Tabla17[[#This Row],[alcalinidad ml 5.7]]*0.02)/20)*50*1000</f>
        <v>2275</v>
      </c>
      <c r="Q16" s="2">
        <f>((Tabla17[[#This Row],[alcalinidad  ml 4.4]]*0.02)/20)*50*1000</f>
        <v>3025</v>
      </c>
      <c r="R16" s="2">
        <f>Tabla17[[#This Row],[Réplica (b)]]/Tabla17[[#This Row],[Réplica (a) ]]</f>
        <v>0.75206611570247939</v>
      </c>
    </row>
    <row r="17" spans="2:18" x14ac:dyDescent="0.2">
      <c r="B17" s="3">
        <v>44174</v>
      </c>
      <c r="C17" s="2">
        <v>32</v>
      </c>
      <c r="D17" s="5">
        <v>757.52499999999998</v>
      </c>
      <c r="E17" s="4">
        <v>20</v>
      </c>
      <c r="F17" s="2">
        <f>510-A1</f>
        <v>17.399999999999977</v>
      </c>
      <c r="G17" s="2">
        <f t="shared" si="0"/>
        <v>16.160095851997792</v>
      </c>
      <c r="H17" s="2">
        <v>35.799999999999997</v>
      </c>
      <c r="I17" s="2">
        <v>41.5</v>
      </c>
      <c r="J17" s="2">
        <v>720</v>
      </c>
      <c r="K17" s="2">
        <v>7.5</v>
      </c>
      <c r="L17" s="2">
        <v>-190.5</v>
      </c>
      <c r="M17" s="2">
        <v>6.9</v>
      </c>
      <c r="N17" s="2">
        <v>43.5</v>
      </c>
      <c r="O17" s="2">
        <v>65</v>
      </c>
      <c r="P17" s="2">
        <f>((Tabla17[[#This Row],[alcalinidad ml 5.7]]*0.02)/20)*50*1000</f>
        <v>2175</v>
      </c>
      <c r="Q17" s="2">
        <f>((Tabla17[[#This Row],[alcalinidad  ml 4.4]]*0.02)/20)*50*1000</f>
        <v>3250</v>
      </c>
      <c r="R17" s="2">
        <f>Tabla17[[#This Row],[Réplica (b)]]/Tabla17[[#This Row],[Réplica (a) ]]</f>
        <v>0.66923076923076918</v>
      </c>
    </row>
    <row r="18" spans="2:18" x14ac:dyDescent="0.2">
      <c r="B18" s="9"/>
      <c r="C18" s="10"/>
      <c r="D18" s="11"/>
      <c r="E18" s="12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2:18" x14ac:dyDescent="0.2">
      <c r="B19" s="9"/>
      <c r="C19" s="10"/>
      <c r="D19" s="11"/>
      <c r="E19" s="12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2:18" x14ac:dyDescent="0.2">
      <c r="B20" s="9"/>
      <c r="C20" s="10"/>
      <c r="D20" s="11"/>
      <c r="E20" s="12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2:18" x14ac:dyDescent="0.2">
      <c r="B21" s="9"/>
      <c r="C21" s="10"/>
      <c r="D21" s="11"/>
      <c r="E21" s="1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2:18" x14ac:dyDescent="0.2">
      <c r="B22" s="9"/>
      <c r="C22" s="10"/>
      <c r="D22" s="11"/>
      <c r="E22" s="12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2:18" x14ac:dyDescent="0.2">
      <c r="B23" s="9"/>
      <c r="C23" s="10"/>
      <c r="D23" s="11"/>
      <c r="E23" s="12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2:18" x14ac:dyDescent="0.2">
      <c r="B24" s="9"/>
      <c r="C24" s="10"/>
      <c r="D24" s="11"/>
      <c r="E24" s="12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2:18" x14ac:dyDescent="0.2">
      <c r="B25" s="9"/>
      <c r="C25" s="10"/>
      <c r="D25" s="11"/>
      <c r="E25" s="1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6AA6A-2978-4FE7-ADBE-2D55E29361B9}">
  <dimension ref="A1"/>
  <sheetViews>
    <sheetView topLeftCell="A13" workbookViewId="0">
      <selection activeCell="K62" sqref="K62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NOTAS</vt:lpstr>
      <vt:lpstr>DATOS MEZCLAS</vt:lpstr>
      <vt:lpstr>DATOS MONITOREO</vt:lpstr>
      <vt:lpstr>DATOS MONITOREO 2</vt:lpstr>
      <vt:lpstr>GRAFICAS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dominguez villanueva</dc:creator>
  <cp:keywords/>
  <dc:description/>
  <cp:lastModifiedBy>ROBERTO VALENCIA VAZQUEZ</cp:lastModifiedBy>
  <cp:revision/>
  <dcterms:created xsi:type="dcterms:W3CDTF">2020-03-02T15:53:24Z</dcterms:created>
  <dcterms:modified xsi:type="dcterms:W3CDTF">2024-05-24T00:38:49Z</dcterms:modified>
  <cp:category/>
  <cp:contentStatus/>
</cp:coreProperties>
</file>